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0"/>
  </bookViews>
  <sheets>
    <sheet name="一般公共" sheetId="1" r:id="rId1"/>
    <sheet name="政府性基金" sheetId="2" r:id="rId2"/>
    <sheet name="国有资本" sheetId="3" r:id="rId3"/>
    <sheet name="社保基金" sheetId="4" r:id="rId4"/>
    <sheet name="社保基金1" sheetId="5" r:id="rId5"/>
    <sheet name="社保基金2" sheetId="6" r:id="rId6"/>
    <sheet name="政府债务" sheetId="7" r:id="rId7"/>
    <sheet name="专项债务" sheetId="9" r:id="rId8"/>
    <sheet name="三公两费" sheetId="8" r:id="rId9"/>
    <sheet name="预备费" sheetId="10" r:id="rId10"/>
    <sheet name="2023年部门绩效自评表" sheetId="11" r:id="rId11"/>
    <sheet name="2023年财政评价表" sheetId="12" r:id="rId12"/>
  </sheets>
  <definedNames>
    <definedName name="_xlnm._FilterDatabase" localSheetId="0" hidden="1">一般公共!$A$5:$Y$32</definedName>
    <definedName name="_xlnm._FilterDatabase" localSheetId="10" hidden="1">'2023年部门绩效自评表'!$A$4:$E$74</definedName>
    <definedName name="_xlnm.Print_Titles" localSheetId="0">一般公共!$4:$5</definedName>
    <definedName name="_xlnm.Print_Titles" localSheetId="1">政府性基金!$1:$5</definedName>
    <definedName name="_xlnm.Print_Area" localSheetId="0">一般公共!$A$1:$Y$122</definedName>
    <definedName name="_xlnm.Print_Area" localSheetId="1">政府性基金!$A$1:$M$38</definedName>
    <definedName name="_xlnm.Print_Area" localSheetId="2">国有资本!$A$1:$L$25</definedName>
    <definedName name="_xlnm.Print_Area" localSheetId="5">社保基金2!$A$1:$X$20</definedName>
    <definedName name="_xlnm.Print_Titles" localSheetId="10">'2023年部门绩效自评表'!$1:$4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<sst xmlns="http://schemas.openxmlformats.org/spreadsheetml/2006/main" count="1007" uniqueCount="738">
  <si>
    <t>附件1</t>
  </si>
  <si>
    <t>融水苗族自治县2024年一般公共预算收支决算表</t>
  </si>
  <si>
    <t>编制单位：融水县财政局</t>
  </si>
  <si>
    <t>单位：万元</t>
  </si>
  <si>
    <t>项    目</t>
  </si>
  <si>
    <t>2022年</t>
  </si>
  <si>
    <t>2023年</t>
  </si>
  <si>
    <t>2024年</t>
  </si>
  <si>
    <t>年初预算数</t>
  </si>
  <si>
    <t>执行数</t>
  </si>
  <si>
    <t>调整预算数</t>
  </si>
  <si>
    <t>决算数</t>
  </si>
  <si>
    <t>执行率</t>
  </si>
  <si>
    <t>执行率2（调整数）</t>
  </si>
  <si>
    <t>同比增减额</t>
  </si>
  <si>
    <t>同比增减率</t>
  </si>
  <si>
    <t>结转资金（结转下年使用）</t>
  </si>
  <si>
    <t>一、税收收入</t>
  </si>
  <si>
    <t>一般公共服务支出</t>
  </si>
  <si>
    <t xml:space="preserve">           增值税</t>
  </si>
  <si>
    <t>外交支出</t>
  </si>
  <si>
    <t xml:space="preserve">           企业所得税</t>
  </si>
  <si>
    <t>国防支出</t>
  </si>
  <si>
    <t xml:space="preserve">           企业所得税退税</t>
  </si>
  <si>
    <t>公共安全支出</t>
  </si>
  <si>
    <t xml:space="preserve">           个人所得税</t>
  </si>
  <si>
    <t>教育支出</t>
  </si>
  <si>
    <t xml:space="preserve">           资源税</t>
  </si>
  <si>
    <t>科学技术支出</t>
  </si>
  <si>
    <t xml:space="preserve">           城市维护建设税</t>
  </si>
  <si>
    <t>文化旅游体育与传媒支出</t>
  </si>
  <si>
    <t xml:space="preserve">           房产税</t>
  </si>
  <si>
    <t>社会保障和就业支出</t>
  </si>
  <si>
    <t xml:space="preserve">           印花税</t>
  </si>
  <si>
    <t>卫生健康支出</t>
  </si>
  <si>
    <t xml:space="preserve">           城镇土地使用税</t>
  </si>
  <si>
    <t>节能环保支出</t>
  </si>
  <si>
    <t xml:space="preserve">           土地增值税</t>
  </si>
  <si>
    <t>城乡社区支出</t>
  </si>
  <si>
    <t xml:space="preserve">           车船税</t>
  </si>
  <si>
    <t>农林水支出</t>
  </si>
  <si>
    <t xml:space="preserve">           耕地占用税</t>
  </si>
  <si>
    <t>交通运输支出</t>
  </si>
  <si>
    <t xml:space="preserve">           契税</t>
  </si>
  <si>
    <t>资源勘探工业信息等支出</t>
  </si>
  <si>
    <t xml:space="preserve">           烟叶税</t>
  </si>
  <si>
    <t>商业服务业等支出</t>
  </si>
  <si>
    <t xml:space="preserve">           环境保护税</t>
  </si>
  <si>
    <t>金融支出</t>
  </si>
  <si>
    <t xml:space="preserve">           其他税收收入</t>
  </si>
  <si>
    <t>援助其他地区支出</t>
  </si>
  <si>
    <t>二、非税收入</t>
  </si>
  <si>
    <t>自然资源海洋气象等支出</t>
  </si>
  <si>
    <t xml:space="preserve">           专项收入</t>
  </si>
  <si>
    <t>住房保障支出</t>
  </si>
  <si>
    <t xml:space="preserve">           行政事业性收费收入</t>
  </si>
  <si>
    <t>粮油物资储备支出</t>
  </si>
  <si>
    <t xml:space="preserve">           罚没收入</t>
  </si>
  <si>
    <t>灾害防治及应急管理支出</t>
  </si>
  <si>
    <t xml:space="preserve">           国有资本经营收入</t>
  </si>
  <si>
    <t>预备费</t>
  </si>
  <si>
    <t xml:space="preserve">           国有资源(资产)有偿使用收入</t>
  </si>
  <si>
    <t>其他支出</t>
  </si>
  <si>
    <t xml:space="preserve">           捐赠收入</t>
  </si>
  <si>
    <t>债务付息支出</t>
  </si>
  <si>
    <t xml:space="preserve">           政府性住房基金收入</t>
  </si>
  <si>
    <t>债务发行费用支出</t>
  </si>
  <si>
    <t xml:space="preserve">           其他收入</t>
  </si>
  <si>
    <t>上年结转专款支出</t>
  </si>
  <si>
    <t>收入合计</t>
  </si>
  <si>
    <t>本年支出合计</t>
  </si>
  <si>
    <t>转移性收入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</si>
  <si>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</si>
  <si>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</si>
  <si>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</si>
  <si>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</si>
  <si>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</si>
  <si>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</si>
  <si>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</si>
  <si>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</si>
  <si>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</si>
  <si>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</si>
  <si>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</si>
  <si>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</si>
  <si>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</si>
  <si>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其他税收返还收入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</si>
  <si>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</si>
  <si>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</si>
  <si>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</si>
  <si>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</si>
  <si>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</si>
  <si>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</si>
  <si>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</si>
  <si>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</si>
  <si>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</si>
  <si>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</si>
  <si>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</si>
  <si>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</si>
  <si>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</si>
  <si>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</si>
  <si>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</si>
  <si>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产粮（油）大县奖励资金收入</t>
  </si>
  <si>
    <t xml:space="preserve">    产粮（油）大县奖励资金支出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</si>
  <si>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</si>
  <si>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</si>
  <si>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</si>
  <si>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</si>
  <si>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</si>
  <si>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</si>
  <si>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</si>
  <si>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</si>
  <si>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</si>
  <si>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</si>
  <si>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巩固脱贫攻坚成果衔接乡村振兴转移支付收入</t>
  </si>
  <si>
    <t xml:space="preserve">    欠发达地区转移支付收入</t>
  </si>
  <si>
    <t xml:space="preserve">    一般公共服务共同财政事权转移支付收入</t>
  </si>
  <si>
    <t xml:space="preserve">    一般公共服务共同财政事权转移支付支出</t>
  </si>
  <si>
    <t xml:space="preserve">    外交共同财政事权转移支付收入</t>
  </si>
  <si>
    <t xml:space="preserve">    外交共同财政事权转移支付支出</t>
  </si>
  <si>
    <t xml:space="preserve">    国防共同财政事权转移支付收入</t>
  </si>
  <si>
    <t xml:space="preserve">    国防共同财政事权转移支付支出</t>
  </si>
  <si>
    <t xml:space="preserve">    公共安全共同财政事权转移支付收入</t>
  </si>
  <si>
    <t xml:space="preserve">    公共安全共同财政事权转移支付支出</t>
  </si>
  <si>
    <t xml:space="preserve">    教育共同财政事权转移支付收入</t>
  </si>
  <si>
    <t xml:space="preserve">    教育共同财政事权转移支付支出</t>
  </si>
  <si>
    <t xml:space="preserve">    科学技术共同财政事权转移支付收入</t>
  </si>
  <si>
    <t xml:space="preserve">    科学技术共同财政事权转移支付支出</t>
  </si>
  <si>
    <t xml:space="preserve">    文化旅游体育与传媒共同财政事权转移支付收入</t>
  </si>
  <si>
    <t xml:space="preserve">    文化旅游体育与传媒共同财政事权转移支付支出</t>
  </si>
  <si>
    <t xml:space="preserve">    社会保障和就业共同财政事权转移支付收入</t>
  </si>
  <si>
    <t xml:space="preserve">    社会保障和就业共同财政事权转移支付支出</t>
  </si>
  <si>
    <t xml:space="preserve">    医疗卫生共同财政事权转移支付收入</t>
  </si>
  <si>
    <t xml:space="preserve">    医疗卫生共同财政事权转移支付支出</t>
  </si>
  <si>
    <t xml:space="preserve">    节能环保共同财政事权转移支付收入</t>
  </si>
  <si>
    <t xml:space="preserve">    节能环保共同财政事权转移支付支出</t>
  </si>
  <si>
    <t xml:space="preserve">    城乡社区共同财政事权转移支付收入</t>
  </si>
  <si>
    <t xml:space="preserve">    城乡社区共同财政事权转移支付支出</t>
  </si>
  <si>
    <t xml:space="preserve">    农林水共同财政事权转移支付收入</t>
  </si>
  <si>
    <t xml:space="preserve">    农林水共同财政事权转移支付支出</t>
  </si>
  <si>
    <t xml:space="preserve">    交通运输共同财政事权转移支付收入</t>
  </si>
  <si>
    <t xml:space="preserve">    交通运输共同财政事权转移支付支出</t>
  </si>
  <si>
    <t xml:space="preserve">    资源勘探信息等共同财政事权转移支付收入</t>
  </si>
  <si>
    <t xml:space="preserve">    资源勘探信息等共同财政事权转移支付支出</t>
  </si>
  <si>
    <t xml:space="preserve">    商业服务业等共同财政事权转移支付收入</t>
  </si>
  <si>
    <t xml:space="preserve">    商业服务业等共同财政事权转移支付支出</t>
  </si>
  <si>
    <t xml:space="preserve">    金融共同财政事权转移支付收入</t>
  </si>
  <si>
    <t xml:space="preserve">    金融共同财政事权转移支付支出</t>
  </si>
  <si>
    <t xml:space="preserve">    自然资源海洋气象等共同财政事权转移支付收入</t>
  </si>
  <si>
    <t xml:space="preserve">    自然资源海洋气象等共同财政事权转移支付支出</t>
  </si>
  <si>
    <t xml:space="preserve">    住房保障共同财政事权转移支付收入</t>
  </si>
  <si>
    <t xml:space="preserve">    住房保障共同财政事权转移支付支出</t>
  </si>
  <si>
    <t xml:space="preserve">    粮油物资储备共同财政事权转移支付收入</t>
  </si>
  <si>
    <t xml:space="preserve">    粮油物资储备共同财政事权转移支付支出</t>
  </si>
  <si>
    <t xml:space="preserve">    灾害防治及应急管理共同财政事权转移支付收入</t>
  </si>
  <si>
    <t xml:space="preserve">    灾害防治及应急管理共同财政事权转移支付支出</t>
  </si>
  <si>
    <t xml:space="preserve">    其他共同财政事权转移支付收入</t>
  </si>
  <si>
    <t xml:space="preserve">    其他共同财政事权转移支付支出</t>
  </si>
  <si>
    <t xml:space="preserve">    增值税留抵退税转移支付收入</t>
  </si>
  <si>
    <t xml:space="preserve">    增值税留抵退税转移支付支出</t>
  </si>
  <si>
    <t xml:space="preserve">    其他退税减税降费转移支付收入</t>
  </si>
  <si>
    <t xml:space="preserve">    其他退税减税降费转移支付支出</t>
  </si>
  <si>
    <t xml:space="preserve">    补充县区财力转移支付收入</t>
  </si>
  <si>
    <t xml:space="preserve">    补充县区财力转移支付支出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</si>
  <si>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</si>
  <si>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</si>
  <si>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</si>
  <si>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</si>
  <si>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</si>
  <si>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</si>
  <si>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</si>
  <si>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</si>
  <si>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</si>
  <si>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</si>
  <si>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</si>
  <si>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</si>
  <si>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</si>
  <si>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</si>
  <si>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</si>
  <si>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</si>
  <si>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</si>
  <si>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</si>
  <si>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</si>
  <si>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</si>
  <si>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</si>
  <si>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</si>
  <si>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</si>
  <si>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</si>
  <si>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债务转贷收入</t>
  </si>
  <si>
    <t>债务还本支出</t>
  </si>
  <si>
    <t xml:space="preserve">  地方政府一般债务转贷收入</t>
  </si>
  <si>
    <t xml:space="preserve">  地方政府一般债务还本支出</t>
  </si>
  <si>
    <t xml:space="preserve">    地方政府一般债券转贷收入</t>
  </si>
  <si>
    <t xml:space="preserve">    地方政府一般债券还本支出</t>
  </si>
  <si>
    <t xml:space="preserve">    地方政府向外国政府借款转贷收入</t>
  </si>
  <si>
    <t xml:space="preserve">    地方政府向外国政府借款还本支出</t>
  </si>
  <si>
    <t xml:space="preserve">    地方政府向国际组织借款转贷收入</t>
  </si>
  <si>
    <t xml:space="preserve">    地方政府向国际组织借款还本支出</t>
  </si>
  <si>
    <t xml:space="preserve">    地方政府其他一般债务转贷收入</t>
  </si>
  <si>
    <t xml:space="preserve">    地方政府其他一般债务还本支出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</si>
  <si>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</si>
  <si>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</si>
  <si>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</si>
  <si>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</si>
  <si>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</si>
  <si>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</si>
  <si>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上年结余收入</t>
  </si>
  <si>
    <t>补充预算周转金</t>
  </si>
  <si>
    <t>动用预算稳定调节基金</t>
  </si>
  <si>
    <t>安排预算稳定调节基金</t>
  </si>
  <si>
    <t>调入资金</t>
  </si>
  <si>
    <t>调出资金</t>
  </si>
  <si>
    <t xml:space="preserve">  从政府性基金预算调入一般公共预算</t>
  </si>
  <si>
    <t>待偿债再融资一般债券结余</t>
  </si>
  <si>
    <t xml:space="preserve">  从国有资本经营预算调入一般公共预算</t>
  </si>
  <si>
    <t>年终结余</t>
  </si>
  <si>
    <t xml:space="preserve">  从其他资金调入一般公共预算</t>
  </si>
  <si>
    <t xml:space="preserve"> 减：专款结余</t>
  </si>
  <si>
    <t xml:space="preserve"> 净结余</t>
  </si>
  <si>
    <t>收入总计</t>
  </si>
  <si>
    <t>支出总计</t>
  </si>
  <si>
    <t>县级可用基本财力</t>
  </si>
  <si>
    <t>民生支出总计</t>
  </si>
  <si>
    <t>其中：“三保”可用财力预算</t>
  </si>
  <si>
    <t>民生支出占一般公共预算支出比重</t>
  </si>
  <si>
    <t>“三保”支出小计</t>
  </si>
  <si>
    <t>民生支出包括教育支出、科学技术支出、文化旅游体育与传媒支出、社会保障和就业支出、卫生健康支出、节能环保支出、城乡社区支出、农林水支出、交通运输支出、商业服务业等支出、自然资源海洋气象等支出、住房保障支出、粮油物资储备支出等支出科目.</t>
  </si>
  <si>
    <t>附件2</t>
  </si>
  <si>
    <t>融水苗族自治县2024年政府性基金预算收支决算表</t>
  </si>
  <si>
    <t>项          目</t>
  </si>
  <si>
    <t>总收入</t>
  </si>
  <si>
    <t>一、政府性基金收入</t>
  </si>
  <si>
    <t>（一）港口建设费收入</t>
  </si>
  <si>
    <t>（二）国有土地收益基金收入</t>
  </si>
  <si>
    <t>（三）农业土地开发资金收入</t>
  </si>
  <si>
    <t>（四）国有土地使用权出让收入</t>
  </si>
  <si>
    <t>（五）城市基础设施配套费收入</t>
  </si>
  <si>
    <t>（六）污水处理费收入</t>
  </si>
  <si>
    <t>（七）其他政府性基金收入</t>
  </si>
  <si>
    <t>（八）专项债券对应项目专项收入</t>
  </si>
  <si>
    <t>二、 上级补助收入</t>
  </si>
  <si>
    <t>三、 调入资金</t>
  </si>
  <si>
    <t>四、上年结余收入</t>
  </si>
  <si>
    <t>五、债务转贷收入</t>
  </si>
  <si>
    <t>总支出</t>
  </si>
  <si>
    <t>一、政府性基金支出</t>
  </si>
  <si>
    <t>（一）文化旅游体育与传媒支出</t>
  </si>
  <si>
    <t>（二）社会保障和就业支出</t>
  </si>
  <si>
    <t>（三）城乡社区支出</t>
  </si>
  <si>
    <t>（四）农林水支出</t>
  </si>
  <si>
    <t>（五）交通运输支出</t>
  </si>
  <si>
    <t>（六）资源勘探工业信息等支出</t>
  </si>
  <si>
    <t>（七）其他支出</t>
  </si>
  <si>
    <t>（八）债务付息支出</t>
  </si>
  <si>
    <t>（九）债务发行费用支出</t>
  </si>
  <si>
    <t>（十）抗疫特别国债安排的支出</t>
  </si>
  <si>
    <t>（十一）上年结转专款支出</t>
  </si>
  <si>
    <t>二、补助下级支出</t>
  </si>
  <si>
    <t>三、调出资金</t>
  </si>
  <si>
    <t>四、债务还本支出</t>
  </si>
  <si>
    <t>五、债务转贷支出</t>
  </si>
  <si>
    <t>六、上解上级支出</t>
  </si>
  <si>
    <t>七、年终结余</t>
  </si>
  <si>
    <t>附件3</t>
  </si>
  <si>
    <t>融水苗族自治县2024年地方国有资本经营预算收支决算表</t>
  </si>
  <si>
    <t xml:space="preserve">编制单位：融水县财政局          </t>
  </si>
  <si>
    <t>一、国有资本经营预算收入</t>
  </si>
  <si>
    <t>（一）利润收入</t>
  </si>
  <si>
    <t>（二）股利、股息收入</t>
  </si>
  <si>
    <t>（三）产权转让收入</t>
  </si>
  <si>
    <t>（四）清算收入</t>
  </si>
  <si>
    <t>（五）其他国有资本经营预算收入</t>
  </si>
  <si>
    <t>二、国有资本经营预算转移支付收入</t>
  </si>
  <si>
    <t>三、上解收入</t>
  </si>
  <si>
    <t>四、上年结余</t>
  </si>
  <si>
    <t>一、国有资本经营预算支出</t>
  </si>
  <si>
    <t>（一）解决历史遗留问题及改革成本支出</t>
  </si>
  <si>
    <t>（二）国有企业资本金注入</t>
  </si>
  <si>
    <t>（三）国有企业政策性补贴</t>
  </si>
  <si>
    <t>（四）其他国有资本经营预算支出</t>
  </si>
  <si>
    <t>二、国有资本经营预算转移支付支出</t>
  </si>
  <si>
    <t>三、上解支出</t>
  </si>
  <si>
    <t>四、国有资本经营预算调出资金</t>
  </si>
  <si>
    <t xml:space="preserve">   年终结余</t>
  </si>
  <si>
    <t>附件4</t>
  </si>
  <si>
    <t>融水苗族自治县2024年社会保险基金预算收支决算表</t>
  </si>
  <si>
    <t>项        目</t>
  </si>
  <si>
    <t>一、收入</t>
  </si>
  <si>
    <t>其中：1.社会保险费收入</t>
  </si>
  <si>
    <t xml:space="preserve">     2.财政补贴收入</t>
  </si>
  <si>
    <t xml:space="preserve">     3.集体补助收入</t>
  </si>
  <si>
    <t xml:space="preserve">     4.利息收入</t>
  </si>
  <si>
    <t xml:space="preserve">     5.委托投资收益</t>
  </si>
  <si>
    <t xml:space="preserve">     6.转移收入</t>
  </si>
  <si>
    <t xml:space="preserve">     7.其他收入</t>
  </si>
  <si>
    <t xml:space="preserve"> 二、支出</t>
  </si>
  <si>
    <t>其中：1.社会保险待遇支出</t>
  </si>
  <si>
    <t xml:space="preserve">     2.转移支出</t>
  </si>
  <si>
    <t xml:space="preserve">     3.其他支出</t>
  </si>
  <si>
    <t>三、本年收支结余</t>
  </si>
  <si>
    <t>四、上年末结余</t>
  </si>
  <si>
    <t>五、年末滚存结余</t>
  </si>
  <si>
    <t>附件4-1</t>
  </si>
  <si>
    <t>融水苗族自治县2024年城乡居民基本养老保险基金预算收支决算表</t>
  </si>
  <si>
    <t>一、个人缴费收入</t>
  </si>
  <si>
    <t>一、基础养老金支出</t>
  </si>
  <si>
    <t xml:space="preserve">    其中：财政为困难人员代缴收入</t>
  </si>
  <si>
    <t>二、个人账户养老金支出</t>
  </si>
  <si>
    <t>二、财政补贴收入</t>
  </si>
  <si>
    <t>三、丧葬补助金支出</t>
  </si>
  <si>
    <t xml:space="preserve">    其中：财政对基础养老金的补贴</t>
  </si>
  <si>
    <t>四、转移支出</t>
  </si>
  <si>
    <t xml:space="preserve">          财政对个人缴费的补贴</t>
  </si>
  <si>
    <t>五、其他支出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</si>
  <si>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</si>
  <si>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</si>
  <si>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</si>
  <si>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</si>
  <si>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</si>
  <si>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</si>
  <si>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</si>
  <si>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</si>
  <si>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</si>
  <si>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</si>
  <si>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</si>
  <si>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</si>
  <si>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</si>
  <si>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</si>
  <si>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</si>
  <si>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</si>
  <si>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计</t>
  </si>
  <si>
    <t>总     计</t>
  </si>
  <si>
    <t>附件4-2</t>
  </si>
  <si>
    <t>融水苗族自治县2024年机关事业单位基本养老保险基金预算收支决算表</t>
  </si>
  <si>
    <t>一、基本养老保险费收入</t>
  </si>
  <si>
    <t>一、基本养老金支出</t>
  </si>
  <si>
    <t xml:space="preserve">    其中：当期征缴收入</t>
  </si>
  <si>
    <t>二、转移支出</t>
  </si>
  <si>
    <t>三、其他支出</t>
  </si>
  <si>
    <t xml:space="preserve">    其中：地方财政补贴</t>
  </si>
  <si>
    <t>三、利息收入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</si>
  <si>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</si>
  <si>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</si>
  <si>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</si>
  <si>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</si>
  <si>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</si>
  <si>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</si>
  <si>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</si>
  <si>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</si>
  <si>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九、本年收入合计</t>
  </si>
  <si>
    <t>七、本年支出合计</t>
  </si>
  <si>
    <t>八、本年收支结余</t>
  </si>
  <si>
    <t>十、上年结余</t>
  </si>
  <si>
    <t>九、年末滚存结余</t>
  </si>
  <si>
    <t>附件5</t>
  </si>
  <si>
    <t>2024年度融水县地方政府债务余额情况表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</si>
  <si>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</si>
  <si>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</si>
  <si>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</si>
  <si>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</si>
  <si>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</si>
  <si>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</si>
  <si>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</si>
  <si>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</si>
  <si>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</si>
  <si>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</si>
  <si>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</si>
  <si>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</si>
  <si>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</si>
  <si>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</si>
  <si>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</si>
  <si>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</si>
  <si>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</si>
  <si>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附件5-1</t>
  </si>
  <si>
    <t>2024年度融水县地方政府专项债务分项目余额情况表</t>
  </si>
  <si>
    <t>编制单位：融水县财政局                                    单位:万元</t>
  </si>
  <si>
    <t>政府性基金预算</t>
  </si>
  <si>
    <t>国家电影事业发展专项资金</t>
  </si>
  <si>
    <t>小型水库移民扶助基金</t>
  </si>
  <si>
    <t>国有土地使用权出让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</si>
  <si>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</si>
  <si>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</si>
  <si>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</si>
  <si>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</si>
  <si>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</si>
  <si>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</si>
  <si>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</si>
  <si>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</si>
  <si>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</si>
  <si>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</si>
  <si>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其他地方自行试点项目收益专项债券</t>
  </si>
  <si>
    <t>其他政府性基金</t>
  </si>
  <si>
    <t>附件6</t>
  </si>
  <si>
    <t>融水县2024年“三公两费”预算执行明细表</t>
  </si>
  <si>
    <t>年度</t>
  </si>
  <si>
    <t>总计</t>
  </si>
  <si>
    <t>“三公”经费</t>
  </si>
  <si>
    <t>“两费”经费</t>
  </si>
  <si>
    <t>备注</t>
  </si>
  <si>
    <t>因公出国（境）费</t>
  </si>
  <si>
    <t>公务用车购置及运行维护费</t>
  </si>
  <si>
    <t>公务接待费</t>
  </si>
  <si>
    <t>会议费</t>
  </si>
  <si>
    <t>培训费</t>
  </si>
  <si>
    <t>公务用车运行维护费</t>
  </si>
  <si>
    <t>公务用车购置费</t>
  </si>
  <si>
    <t>2024年预算数</t>
  </si>
  <si>
    <t>2024年压减额</t>
  </si>
  <si>
    <t>2024年压减率</t>
  </si>
  <si>
    <t>2024年执行数</t>
  </si>
  <si>
    <t>2024年执行率</t>
  </si>
  <si>
    <t>附件7</t>
  </si>
  <si>
    <r>
      <rPr>
        <b/>
        <sz val="16"/>
        <rFont val="宋体"/>
        <charset val="134"/>
      </rPr>
      <t>融水县</t>
    </r>
    <r>
      <rPr>
        <b/>
        <sz val="16"/>
        <rFont val="Arial"/>
        <charset val="134"/>
      </rPr>
      <t>2024</t>
    </r>
    <r>
      <rPr>
        <b/>
        <sz val="16"/>
        <rFont val="宋体"/>
        <charset val="134"/>
      </rPr>
      <t>年预备费安排明细表</t>
    </r>
  </si>
  <si>
    <t>按用途分类</t>
  </si>
  <si>
    <t>金额</t>
  </si>
  <si>
    <t>按科目分类</t>
  </si>
  <si>
    <t>抚恤</t>
  </si>
  <si>
    <t>201-一般公共服务支出</t>
  </si>
  <si>
    <t>遗属生活补助</t>
  </si>
  <si>
    <t>204-公共安全支出</t>
  </si>
  <si>
    <t>退休干部住房维修费、补贴、增加退休费等</t>
  </si>
  <si>
    <t>205-教育支出</t>
  </si>
  <si>
    <t>灾害民生综合保险费</t>
  </si>
  <si>
    <t>207-文化体育旅游与传媒支出</t>
  </si>
  <si>
    <t>房屋维修费</t>
  </si>
  <si>
    <t>208-社会保障和就业支出</t>
  </si>
  <si>
    <t>林农粮差补贴</t>
  </si>
  <si>
    <t>210-卫生健康支出</t>
  </si>
  <si>
    <t>村级保健员（家庭接生员）养老生活补助</t>
  </si>
  <si>
    <t>211-节能环保支出</t>
  </si>
  <si>
    <t>灾害处置费</t>
  </si>
  <si>
    <t>212-城乡社区支出</t>
  </si>
  <si>
    <t>暴雨强度公式修边经费</t>
  </si>
  <si>
    <t>213-农林水支出</t>
  </si>
  <si>
    <t>县城防洪提运行管护经费</t>
  </si>
  <si>
    <t>214-交通运输支出</t>
  </si>
  <si>
    <t>其他</t>
  </si>
  <si>
    <t>220-自然资源海洋气象等支出</t>
  </si>
  <si>
    <t>222-粮油物资储备支出</t>
  </si>
  <si>
    <t>224-灾害防治及应急管理支出</t>
  </si>
  <si>
    <t>2023年部门绩效自评表</t>
  </si>
  <si>
    <t>编码</t>
  </si>
  <si>
    <t>名称</t>
  </si>
  <si>
    <t>预算执行率</t>
  </si>
  <si>
    <t>得分</t>
  </si>
  <si>
    <t>自评结论</t>
  </si>
  <si>
    <t>124</t>
  </si>
  <si>
    <t>融水苗族自治县公安局</t>
  </si>
  <si>
    <t>76.87</t>
  </si>
  <si>
    <t>90.69</t>
  </si>
  <si>
    <t>一等</t>
  </si>
  <si>
    <t>408</t>
  </si>
  <si>
    <t>融水苗族自治县总工会</t>
  </si>
  <si>
    <t>23.81</t>
  </si>
  <si>
    <t>92.38</t>
  </si>
  <si>
    <t>112</t>
  </si>
  <si>
    <t>融水苗族自治县审计局</t>
  </si>
  <si>
    <t>83.46</t>
  </si>
  <si>
    <t>98.35</t>
  </si>
  <si>
    <t>402</t>
  </si>
  <si>
    <t>融水苗族自治县民政局</t>
  </si>
  <si>
    <t>94.17</t>
  </si>
  <si>
    <t>99.42</t>
  </si>
  <si>
    <t>502</t>
  </si>
  <si>
    <t>融水苗族自治县林业局</t>
  </si>
  <si>
    <t>62.86</t>
  </si>
  <si>
    <t>92.69</t>
  </si>
  <si>
    <t>104</t>
  </si>
  <si>
    <t>中国人民政治协商会议融水苗族自治县委员会</t>
  </si>
  <si>
    <t>79.91</t>
  </si>
  <si>
    <t>95.41</t>
  </si>
  <si>
    <t>201</t>
  </si>
  <si>
    <t>融水苗族自治县教育局</t>
  </si>
  <si>
    <t>72.7</t>
  </si>
  <si>
    <t>91.32</t>
  </si>
  <si>
    <t>134</t>
  </si>
  <si>
    <t>融水苗族自治县工业集中区管理委员会服务中心</t>
  </si>
  <si>
    <t>59.3</t>
  </si>
  <si>
    <t>95.93</t>
  </si>
  <si>
    <t>103</t>
  </si>
  <si>
    <t>融水苗族自治县人民代表大会常务委员会</t>
  </si>
  <si>
    <t>86.82</t>
  </si>
  <si>
    <t>98.68</t>
  </si>
  <si>
    <t>136</t>
  </si>
  <si>
    <t>融水苗族自治县市场监督管理局</t>
  </si>
  <si>
    <t>83.35</t>
  </si>
  <si>
    <t>98.33</t>
  </si>
  <si>
    <t>110</t>
  </si>
  <si>
    <t>融水苗族自治县统计局</t>
  </si>
  <si>
    <t>61.03</t>
  </si>
  <si>
    <t>96.1</t>
  </si>
  <si>
    <t>807</t>
  </si>
  <si>
    <t>香粉乡</t>
  </si>
  <si>
    <t>77.12</t>
  </si>
  <si>
    <t>97.18</t>
  </si>
  <si>
    <t>818</t>
  </si>
  <si>
    <t>拱洞乡</t>
  </si>
  <si>
    <t>83.78</t>
  </si>
  <si>
    <t>98.38</t>
  </si>
  <si>
    <t>808</t>
  </si>
  <si>
    <t>安太乡</t>
  </si>
  <si>
    <t>84.68</t>
  </si>
  <si>
    <t>97.67</t>
  </si>
  <si>
    <t>111</t>
  </si>
  <si>
    <t>融水苗族自治县财政局</t>
  </si>
  <si>
    <t>43.24</t>
  </si>
  <si>
    <t>88.64</t>
  </si>
  <si>
    <t>二等</t>
  </si>
  <si>
    <t>132</t>
  </si>
  <si>
    <t>融水苗族自治县供销合作社联合社</t>
  </si>
  <si>
    <t>89.06</t>
  </si>
  <si>
    <t>98.91</t>
  </si>
  <si>
    <t>302</t>
  </si>
  <si>
    <t>融水苗族自治县住房和城乡建设局</t>
  </si>
  <si>
    <t>39.43</t>
  </si>
  <si>
    <t>93.94</t>
  </si>
  <si>
    <t>205</t>
  </si>
  <si>
    <t>融水苗族自治县文化体育广电和旅游局</t>
  </si>
  <si>
    <t>43.07</t>
  </si>
  <si>
    <t>74.13</t>
  </si>
  <si>
    <t>三等</t>
  </si>
  <si>
    <t>204</t>
  </si>
  <si>
    <t>融水苗族自治县科学技术协会</t>
  </si>
  <si>
    <t>88.31</t>
  </si>
  <si>
    <t>98.83</t>
  </si>
  <si>
    <t>101</t>
  </si>
  <si>
    <t>中国共产党融水苗族自治县委员会</t>
  </si>
  <si>
    <t>81.24</t>
  </si>
  <si>
    <t>98.12</t>
  </si>
  <si>
    <t>102</t>
  </si>
  <si>
    <t>融水苗族自治县人民政府</t>
  </si>
  <si>
    <t>87.84</t>
  </si>
  <si>
    <t>97.56</t>
  </si>
  <si>
    <t>107</t>
  </si>
  <si>
    <t>中共融水苗族自治县委员会融水苗族自治县人民政府信访局</t>
  </si>
  <si>
    <t>87.13</t>
  </si>
  <si>
    <t>91.71</t>
  </si>
  <si>
    <t>114</t>
  </si>
  <si>
    <t>融水苗族自治县投资促进中心</t>
  </si>
  <si>
    <t>76.85</t>
  </si>
  <si>
    <t>97.68</t>
  </si>
  <si>
    <t>115</t>
  </si>
  <si>
    <t>融水苗族自治县自然资源和规划局</t>
  </si>
  <si>
    <t>56.09</t>
  </si>
  <si>
    <t>80.61</t>
  </si>
  <si>
    <t>119</t>
  </si>
  <si>
    <t>融水苗族自治县妇女联合会</t>
  </si>
  <si>
    <t>82.22</t>
  </si>
  <si>
    <t>98.22</t>
  </si>
  <si>
    <t>120</t>
  </si>
  <si>
    <t>中国共产主义青年团融水苗族自治县委员会</t>
  </si>
  <si>
    <t>74.36</t>
  </si>
  <si>
    <t>97.44</t>
  </si>
  <si>
    <t>127</t>
  </si>
  <si>
    <t>融水苗族自治县司法局</t>
  </si>
  <si>
    <t>73.51</t>
  </si>
  <si>
    <t>97.35</t>
  </si>
  <si>
    <t>129</t>
  </si>
  <si>
    <t>融水苗族自治县科技工贸和信息化局</t>
  </si>
  <si>
    <t>57.33</t>
  </si>
  <si>
    <t>95.73</t>
  </si>
  <si>
    <t>133</t>
  </si>
  <si>
    <t>融水苗族自治县应急局</t>
  </si>
  <si>
    <t>64.02</t>
  </si>
  <si>
    <t>86.4</t>
  </si>
  <si>
    <t>141</t>
  </si>
  <si>
    <t>中国共产党融水苗族自治县委员会统一战线工作部</t>
  </si>
  <si>
    <t>83.33</t>
  </si>
  <si>
    <t>203</t>
  </si>
  <si>
    <t>中共融水苗族自治县委员会党史县志研究室</t>
  </si>
  <si>
    <t>85.51</t>
  </si>
  <si>
    <t>98.55</t>
  </si>
  <si>
    <t>401</t>
  </si>
  <si>
    <t>融水苗族自治县人力资源和社会保障局</t>
  </si>
  <si>
    <t>75.04</t>
  </si>
  <si>
    <t>89.73</t>
  </si>
  <si>
    <t>404</t>
  </si>
  <si>
    <t>融水苗族自治县残疾人联合会</t>
  </si>
  <si>
    <t>62.27</t>
  </si>
  <si>
    <t>96.23</t>
  </si>
  <si>
    <t>406</t>
  </si>
  <si>
    <t>融水苗族自治县退役军人事务局</t>
  </si>
  <si>
    <t>82.37</t>
  </si>
  <si>
    <t>98.24</t>
  </si>
  <si>
    <t>501</t>
  </si>
  <si>
    <t>融水苗族自治县农业农村局</t>
  </si>
  <si>
    <t>64.19</t>
  </si>
  <si>
    <t>81.76</t>
  </si>
  <si>
    <t>504</t>
  </si>
  <si>
    <t>融水苗族自治县乡村振兴局</t>
  </si>
  <si>
    <t>85.91</t>
  </si>
  <si>
    <t>98.59</t>
  </si>
  <si>
    <t>809</t>
  </si>
  <si>
    <t>洞头镇</t>
  </si>
  <si>
    <t>69.86</t>
  </si>
  <si>
    <t>96.99</t>
  </si>
  <si>
    <t>805</t>
  </si>
  <si>
    <t>永乐镇</t>
  </si>
  <si>
    <t>82.91</t>
  </si>
  <si>
    <t>98.29</t>
  </si>
  <si>
    <t>108</t>
  </si>
  <si>
    <t>融水苗族自治县发展和改革局</t>
  </si>
  <si>
    <t>90.47</t>
  </si>
  <si>
    <t>99.05</t>
  </si>
  <si>
    <t>503</t>
  </si>
  <si>
    <t>融水苗族自治县水利局</t>
  </si>
  <si>
    <t>42.5</t>
  </si>
  <si>
    <t>91.28</t>
  </si>
  <si>
    <t>139</t>
  </si>
  <si>
    <t>中国共产党融水苗族自治县委员会宣传部</t>
  </si>
  <si>
    <t>71.62</t>
  </si>
  <si>
    <t>97.16</t>
  </si>
  <si>
    <t>816</t>
  </si>
  <si>
    <t>白云乡</t>
  </si>
  <si>
    <t>85.87</t>
  </si>
  <si>
    <t>96.51</t>
  </si>
  <si>
    <t>814</t>
  </si>
  <si>
    <t>安陲乡</t>
  </si>
  <si>
    <t>89.29</t>
  </si>
  <si>
    <t>98.93</t>
  </si>
  <si>
    <t>505</t>
  </si>
  <si>
    <t>融水苗族自治县气象局</t>
  </si>
  <si>
    <t>82.03</t>
  </si>
  <si>
    <t>98.2</t>
  </si>
  <si>
    <t>806</t>
  </si>
  <si>
    <t>四荣乡</t>
  </si>
  <si>
    <t>85.28</t>
  </si>
  <si>
    <t>98.53</t>
  </si>
  <si>
    <t>813</t>
  </si>
  <si>
    <t>杆洞乡</t>
  </si>
  <si>
    <t>80.46</t>
  </si>
  <si>
    <t>88.05</t>
  </si>
  <si>
    <t>802</t>
  </si>
  <si>
    <t>和睦镇</t>
  </si>
  <si>
    <t>88.25</t>
  </si>
  <si>
    <t>98.82</t>
  </si>
  <si>
    <t>405</t>
  </si>
  <si>
    <t>融水苗族自治县卫生健康局</t>
  </si>
  <si>
    <t>73.5</t>
  </si>
  <si>
    <t>89.35</t>
  </si>
  <si>
    <t>812</t>
  </si>
  <si>
    <t>滚贝乡</t>
  </si>
  <si>
    <t>84.64</t>
  </si>
  <si>
    <t>98.46</t>
  </si>
  <si>
    <t>804</t>
  </si>
  <si>
    <t>怀宝镇</t>
  </si>
  <si>
    <t>83.1</t>
  </si>
  <si>
    <t>98.31</t>
  </si>
  <si>
    <t>817</t>
  </si>
  <si>
    <t>红水乡</t>
  </si>
  <si>
    <t>87.19</t>
  </si>
  <si>
    <t>94.83</t>
  </si>
  <si>
    <t>106</t>
  </si>
  <si>
    <t>中国共产党融水苗族自治县委员会机构编制委员会办公室</t>
  </si>
  <si>
    <t>88.68</t>
  </si>
  <si>
    <t>98.87</t>
  </si>
  <si>
    <t>303</t>
  </si>
  <si>
    <t>融水苗族自治县城市管理行政执法局</t>
  </si>
  <si>
    <t>72.85</t>
  </si>
  <si>
    <t>97.28</t>
  </si>
  <si>
    <t>142</t>
  </si>
  <si>
    <t>中国共产党融水苗族自治县委员会政法委员会</t>
  </si>
  <si>
    <t>80.06</t>
  </si>
  <si>
    <t>98.01</t>
  </si>
  <si>
    <t>117</t>
  </si>
  <si>
    <t>融水苗族自治县工商业联合会</t>
  </si>
  <si>
    <t>84.27</t>
  </si>
  <si>
    <t>98.36</t>
  </si>
  <si>
    <t>143</t>
  </si>
  <si>
    <t>中国共产党融水苗族自治县直属机关工作委员会</t>
  </si>
  <si>
    <t>82.67</t>
  </si>
  <si>
    <t>95.27</t>
  </si>
  <si>
    <t>202</t>
  </si>
  <si>
    <t>中国共产党融水苗族自治县委员会党校</t>
  </si>
  <si>
    <t>83.3</t>
  </si>
  <si>
    <t>113</t>
  </si>
  <si>
    <t>中国共产党融水苗族自治县纪律检查委员会</t>
  </si>
  <si>
    <t>83.26</t>
  </si>
  <si>
    <t>128</t>
  </si>
  <si>
    <t>融水苗族自治县交通运输局</t>
  </si>
  <si>
    <t>68.87</t>
  </si>
  <si>
    <t>94.19</t>
  </si>
  <si>
    <t>140</t>
  </si>
  <si>
    <t>中国共产党融水苗族自治县委员会组织部</t>
  </si>
  <si>
    <t>67.82</t>
  </si>
  <si>
    <t>79.26</t>
  </si>
  <si>
    <t>208</t>
  </si>
  <si>
    <t>融水苗族自治县档案馆</t>
  </si>
  <si>
    <t>82.83</t>
  </si>
  <si>
    <t>98.28</t>
  </si>
  <si>
    <t>407</t>
  </si>
  <si>
    <t>融水苗族自治县医疗保障局</t>
  </si>
  <si>
    <t>58.28</t>
  </si>
  <si>
    <t>95.83</t>
  </si>
  <si>
    <t>811</t>
  </si>
  <si>
    <t>同练乡</t>
  </si>
  <si>
    <t>85.49</t>
  </si>
  <si>
    <t>819</t>
  </si>
  <si>
    <t>大年乡</t>
  </si>
  <si>
    <t>82.15</t>
  </si>
  <si>
    <t>98.21</t>
  </si>
  <si>
    <t>801</t>
  </si>
  <si>
    <t>融水镇</t>
  </si>
  <si>
    <t>85.34</t>
  </si>
  <si>
    <t>803</t>
  </si>
  <si>
    <t>三防镇</t>
  </si>
  <si>
    <t>82.8</t>
  </si>
  <si>
    <t>810</t>
  </si>
  <si>
    <t>汪洞乡</t>
  </si>
  <si>
    <t>82.81</t>
  </si>
  <si>
    <t>93.28</t>
  </si>
  <si>
    <t>815</t>
  </si>
  <si>
    <t>大浪镇</t>
  </si>
  <si>
    <t>83.95</t>
  </si>
  <si>
    <t>96.72</t>
  </si>
  <si>
    <t>820</t>
  </si>
  <si>
    <t>良寨乡</t>
  </si>
  <si>
    <t>86.43</t>
  </si>
  <si>
    <t>94.64</t>
  </si>
  <si>
    <t>144</t>
  </si>
  <si>
    <t>融水苗族自治县行政审批局</t>
  </si>
  <si>
    <t>75.17</t>
  </si>
  <si>
    <t>93.08</t>
  </si>
  <si>
    <t>2023年财政评价表</t>
  </si>
  <si>
    <t>单位及项目名称</t>
  </si>
  <si>
    <t>绩效等级</t>
  </si>
  <si>
    <t>资金性质</t>
  </si>
  <si>
    <t>类型</t>
  </si>
  <si>
    <t>县行政审批局</t>
  </si>
  <si>
    <t>整体评价</t>
  </si>
  <si>
    <t>县市场监督管理局</t>
  </si>
  <si>
    <t>农村公办学校校舍安全项目</t>
  </si>
  <si>
    <t>重点评价</t>
  </si>
  <si>
    <t>一般公共预算</t>
  </si>
  <si>
    <t>水利水毁设施修复项目</t>
  </si>
  <si>
    <t>农田建设补助资金</t>
  </si>
  <si>
    <t>康田香杉科技产业园项目</t>
  </si>
  <si>
    <t>水东新区环卫市场化作业承包项目</t>
  </si>
  <si>
    <t>购买服务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</si>
</sst>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  <numFmt numFmtId="179" formatCode="#,##0_ "/>
  </numFmts>
  <fonts count="50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"/>
    </font>
    <font>
      <b/>
      <sz val="11"/>
      <color indexed="8"/>
      <name val="宋体"/>
      <charset val="1"/>
    </font>
    <font>
      <sz val="12"/>
      <color indexed="8"/>
      <name val="宋体"/>
      <charset val="1"/>
    </font>
    <font>
      <b/>
      <sz val="11"/>
      <name val="宋体"/>
      <charset val="134"/>
    </font>
    <font>
      <sz val="12"/>
      <name val="宋体"/>
      <charset val="1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Times New Roman"/>
      <charset val="0"/>
    </font>
    <font>
      <sz val="10"/>
      <name val="宋体"/>
      <charset val="0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6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0" fillId="0" borderId="0"/>
    <xf numFmtId="0" fontId="0" fillId="0" borderId="0">
      <alignment vertical="center"/>
    </xf>
    <xf numFmtId="43" fontId="48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vertical="center"/>
    </xf>
    <xf numFmtId="41" fontId="9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7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 applyProtection="1">
      <alignment horizontal="right" vertical="center"/>
    </xf>
    <xf numFmtId="177" fontId="8" fillId="0" borderId="1" xfId="0" applyNumberFormat="1" applyFont="1" applyFill="1" applyBorder="1" applyAlignment="1" applyProtection="1">
      <alignment horizontal="right" vertical="center"/>
    </xf>
    <xf numFmtId="41" fontId="8" fillId="0" borderId="1" xfId="0" applyNumberFormat="1" applyFont="1" applyFill="1" applyBorder="1" applyAlignment="1">
      <alignment horizontal="right" vertical="center" wrapText="1"/>
    </xf>
    <xf numFmtId="0" fontId="0" fillId="0" borderId="0" xfId="51"/>
    <xf numFmtId="0" fontId="8" fillId="0" borderId="0" xfId="51" applyFont="1" applyFill="1"/>
    <xf numFmtId="0" fontId="13" fillId="0" borderId="0" xfId="51" applyFont="1" applyFill="1"/>
    <xf numFmtId="0" fontId="14" fillId="0" borderId="0" xfId="51" applyFont="1" applyFill="1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9" fillId="0" borderId="1" xfId="49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 applyProtection="1">
      <alignment horizontal="center" vertical="center" wrapText="1"/>
    </xf>
    <xf numFmtId="177" fontId="9" fillId="0" borderId="4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3" fontId="9" fillId="0" borderId="1" xfId="49" applyNumberFormat="1" applyFont="1" applyFill="1" applyBorder="1" applyAlignment="1" applyProtection="1">
      <alignment vertical="center" wrapText="1"/>
    </xf>
    <xf numFmtId="177" fontId="15" fillId="0" borderId="1" xfId="51" applyNumberFormat="1" applyFont="1" applyFill="1" applyBorder="1" applyAlignment="1">
      <alignment horizontal="right" vertical="center"/>
    </xf>
    <xf numFmtId="177" fontId="15" fillId="0" borderId="5" xfId="51" applyNumberFormat="1" applyFont="1" applyFill="1" applyBorder="1" applyAlignment="1">
      <alignment horizontal="right" vertical="center"/>
    </xf>
    <xf numFmtId="3" fontId="9" fillId="0" borderId="1" xfId="49" applyNumberFormat="1" applyFont="1" applyFill="1" applyBorder="1" applyAlignment="1" applyProtection="1">
      <alignment horizontal="center" vertical="center" wrapText="1"/>
    </xf>
    <xf numFmtId="177" fontId="16" fillId="0" borderId="1" xfId="51" applyNumberFormat="1" applyFont="1" applyFill="1" applyBorder="1" applyAlignment="1">
      <alignment horizontal="right" vertical="center"/>
    </xf>
    <xf numFmtId="49" fontId="17" fillId="0" borderId="0" xfId="51" applyNumberFormat="1" applyFont="1" applyFill="1" applyAlignment="1">
      <alignment vertical="center"/>
    </xf>
    <xf numFmtId="0" fontId="17" fillId="0" borderId="0" xfId="51" applyFont="1" applyFill="1" applyAlignment="1">
      <alignment vertical="center"/>
    </xf>
    <xf numFmtId="178" fontId="13" fillId="0" borderId="1" xfId="0" applyNumberFormat="1" applyFont="1" applyFill="1" applyBorder="1" applyAlignment="1">
      <alignment horizontal="right" vertical="center" wrapText="1"/>
    </xf>
    <xf numFmtId="177" fontId="13" fillId="0" borderId="1" xfId="0" applyNumberFormat="1" applyFont="1" applyFill="1" applyBorder="1" applyAlignment="1">
      <alignment horizontal="right" vertical="center" wrapText="1"/>
    </xf>
    <xf numFmtId="178" fontId="15" fillId="0" borderId="1" xfId="51" applyNumberFormat="1" applyFont="1" applyFill="1" applyBorder="1" applyAlignment="1">
      <alignment horizontal="right" vertical="center"/>
    </xf>
    <xf numFmtId="179" fontId="15" fillId="0" borderId="1" xfId="51" applyNumberFormat="1" applyFont="1" applyFill="1" applyBorder="1" applyAlignment="1">
      <alignment horizontal="right" vertical="center"/>
    </xf>
    <xf numFmtId="178" fontId="18" fillId="0" borderId="1" xfId="0" applyNumberFormat="1" applyFont="1" applyFill="1" applyBorder="1" applyAlignment="1">
      <alignment horizontal="right" vertical="center" wrapText="1"/>
    </xf>
    <xf numFmtId="177" fontId="18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0" fillId="0" borderId="1" xfId="51" applyFont="1" applyBorder="1"/>
    <xf numFmtId="3" fontId="8" fillId="0" borderId="1" xfId="49" applyNumberFormat="1" applyFont="1" applyFill="1" applyBorder="1" applyAlignment="1" applyProtection="1">
      <alignment vertical="center" wrapText="1"/>
    </xf>
    <xf numFmtId="177" fontId="15" fillId="0" borderId="6" xfId="51" applyNumberFormat="1" applyFont="1" applyFill="1" applyBorder="1" applyAlignment="1">
      <alignment horizontal="right" vertical="center"/>
    </xf>
    <xf numFmtId="3" fontId="8" fillId="0" borderId="1" xfId="49" applyNumberFormat="1" applyFont="1" applyFill="1" applyBorder="1" applyAlignment="1" applyProtection="1">
      <alignment horizontal="center" vertical="center" wrapText="1"/>
    </xf>
    <xf numFmtId="49" fontId="19" fillId="0" borderId="7" xfId="51" applyNumberFormat="1" applyFont="1" applyFill="1" applyBorder="1"/>
    <xf numFmtId="0" fontId="17" fillId="0" borderId="7" xfId="51" applyFont="1" applyFill="1" applyBorder="1" applyAlignment="1">
      <alignment vertical="center"/>
    </xf>
    <xf numFmtId="177" fontId="9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51" applyBorder="1"/>
    <xf numFmtId="0" fontId="0" fillId="0" borderId="0" xfId="0" applyFill="1" applyBorder="1" applyAlignment="1">
      <alignment vertical="center"/>
    </xf>
    <xf numFmtId="179" fontId="9" fillId="0" borderId="1" xfId="49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center" wrapText="1"/>
    </xf>
    <xf numFmtId="179" fontId="21" fillId="0" borderId="1" xfId="0" applyNumberFormat="1" applyFont="1" applyFill="1" applyBorder="1" applyAlignment="1">
      <alignment vertical="center" wrapText="1"/>
    </xf>
    <xf numFmtId="179" fontId="22" fillId="0" borderId="1" xfId="0" applyNumberFormat="1" applyFont="1" applyFill="1" applyBorder="1" applyAlignment="1">
      <alignment vertical="center" wrapText="1"/>
    </xf>
    <xf numFmtId="0" fontId="9" fillId="0" borderId="1" xfId="49" applyFont="1" applyFill="1" applyBorder="1" applyAlignment="1">
      <alignment vertical="center" wrapText="1"/>
    </xf>
    <xf numFmtId="178" fontId="8" fillId="0" borderId="1" xfId="0" applyNumberFormat="1" applyFont="1" applyFill="1" applyBorder="1" applyAlignment="1">
      <alignment horizontal="right" vertical="center" wrapText="1"/>
    </xf>
    <xf numFmtId="177" fontId="8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0" fontId="13" fillId="0" borderId="0" xfId="49" applyFont="1" applyFill="1" applyAlignment="1">
      <alignment vertical="center" wrapText="1"/>
    </xf>
    <xf numFmtId="0" fontId="14" fillId="0" borderId="0" xfId="49" applyFont="1" applyFill="1" applyAlignment="1">
      <alignment vertical="center" wrapText="1"/>
    </xf>
    <xf numFmtId="0" fontId="7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vertical="center" wrapText="1"/>
    </xf>
    <xf numFmtId="0" fontId="8" fillId="0" borderId="0" xfId="49" applyFont="1" applyFill="1" applyAlignment="1">
      <alignment horizontal="center" vertical="center" wrapText="1"/>
    </xf>
    <xf numFmtId="0" fontId="23" fillId="0" borderId="0" xfId="49" applyFont="1" applyFill="1" applyAlignment="1">
      <alignment horizontal="center" vertical="center" wrapText="1"/>
    </xf>
    <xf numFmtId="0" fontId="24" fillId="0" borderId="0" xfId="49" applyFont="1" applyFill="1" applyAlignment="1">
      <alignment vertical="center" wrapText="1"/>
    </xf>
    <xf numFmtId="177" fontId="25" fillId="0" borderId="1" xfId="52" applyNumberFormat="1" applyFont="1" applyFill="1" applyBorder="1" applyAlignment="1">
      <alignment horizontal="right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vertical="center" wrapText="1"/>
    </xf>
    <xf numFmtId="177" fontId="26" fillId="0" borderId="1" xfId="52" applyNumberFormat="1" applyFont="1" applyFill="1" applyBorder="1" applyAlignment="1">
      <alignment horizontal="right" vertical="center" wrapText="1"/>
    </xf>
    <xf numFmtId="177" fontId="8" fillId="0" borderId="1" xfId="53" applyNumberFormat="1" applyFont="1" applyFill="1" applyBorder="1" applyAlignment="1">
      <alignment horizontal="right" vertical="center" wrapText="1"/>
    </xf>
    <xf numFmtId="0" fontId="26" fillId="0" borderId="1" xfId="52" applyFont="1" applyFill="1" applyBorder="1" applyAlignment="1">
      <alignment vertical="center" wrapText="1"/>
    </xf>
    <xf numFmtId="177" fontId="9" fillId="0" borderId="1" xfId="53" applyNumberFormat="1" applyFont="1" applyFill="1" applyBorder="1" applyAlignment="1">
      <alignment horizontal="right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177" fontId="9" fillId="0" borderId="9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vertical="center" wrapText="1"/>
      <protection locked="0"/>
    </xf>
    <xf numFmtId="177" fontId="8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8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5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vertical="center"/>
    </xf>
    <xf numFmtId="177" fontId="8" fillId="0" borderId="1" xfId="0" applyNumberFormat="1" applyFont="1" applyFill="1" applyBorder="1" applyAlignment="1" applyProtection="1">
      <alignment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 wrapText="1"/>
    </xf>
    <xf numFmtId="177" fontId="9" fillId="0" borderId="1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vertical="center" wrapText="1"/>
    </xf>
    <xf numFmtId="177" fontId="11" fillId="0" borderId="1" xfId="0" applyNumberFormat="1" applyFon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9" fillId="0" borderId="1" xfId="0" applyNumberFormat="1" applyFont="1" applyFill="1" applyBorder="1" applyAlignment="1" applyProtection="1">
      <alignment horizontal="right" vertical="center" wrapText="1"/>
    </xf>
    <xf numFmtId="177" fontId="9" fillId="0" borderId="1" xfId="0" applyNumberFormat="1" applyFont="1" applyFill="1" applyBorder="1" applyAlignment="1" applyProtection="1">
      <alignment vertical="center" wrapText="1"/>
      <protection locked="0"/>
    </xf>
    <xf numFmtId="0" fontId="27" fillId="0" borderId="1" xfId="0" applyFont="1" applyFill="1" applyBorder="1" applyAlignment="1">
      <alignment vertical="center"/>
    </xf>
    <xf numFmtId="177" fontId="8" fillId="0" borderId="1" xfId="50" applyNumberFormat="1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177" fontId="26" fillId="3" borderId="0" xfId="0" applyNumberFormat="1" applyFont="1" applyFill="1" applyBorder="1" applyAlignment="1">
      <alignment vertical="center"/>
    </xf>
    <xf numFmtId="0" fontId="28" fillId="3" borderId="0" xfId="0" applyFont="1" applyFill="1" applyBorder="1" applyAlignment="1">
      <alignment vertical="center" wrapText="1"/>
    </xf>
    <xf numFmtId="177" fontId="28" fillId="3" borderId="0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177" fontId="9" fillId="0" borderId="1" xfId="0" applyNumberFormat="1" applyFont="1" applyFill="1" applyBorder="1" applyAlignment="1" applyProtection="1">
      <alignment vertical="center" wrapText="1"/>
    </xf>
    <xf numFmtId="177" fontId="21" fillId="0" borderId="1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178" fontId="11" fillId="0" borderId="0" xfId="0" applyNumberFormat="1" applyFont="1" applyFill="1" applyAlignment="1">
      <alignment vertical="center"/>
    </xf>
    <xf numFmtId="177" fontId="11" fillId="0" borderId="0" xfId="0" applyNumberFormat="1" applyFont="1" applyFill="1" applyAlignment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附表2：2015年基金预算调整表(初稿）" xfId="49"/>
    <cellStyle name="常规_Sheet1" xfId="50"/>
    <cellStyle name="Normal" xfId="51"/>
    <cellStyle name="常规 14" xfId="52"/>
    <cellStyle name="千位分隔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3"/>
  <sheetViews>
    <sheetView workbookViewId="0">
      <pane xSplit="1" ySplit="5" topLeftCell="B96" activePane="bottomRight" state="frozen"/>
      <selection/>
      <selection pane="topRight"/>
      <selection pane="bottomLeft"/>
      <selection pane="bottomRight" activeCell="F4" sqref="F4:L4"/>
    </sheetView>
  </sheetViews>
  <sheetFormatPr defaultColWidth="9" defaultRowHeight="13.5"/>
  <cols>
    <col min="1" max="1" width="22" style="17" customWidth="1"/>
    <col min="2" max="4" width="7.5" style="17" hidden="1" customWidth="1"/>
    <col min="5" max="5" width="7.375" style="17" hidden="1" customWidth="1"/>
    <col min="6" max="6" width="7.625" style="17" customWidth="1"/>
    <col min="7" max="7" width="7.625" style="17" hidden="1" customWidth="1"/>
    <col min="8" max="9" width="7.375" style="17" customWidth="1"/>
    <col min="10" max="10" width="7.375" style="17" hidden="1" customWidth="1"/>
    <col min="11" max="11" width="8.375" style="17" customWidth="1"/>
    <col min="12" max="12" width="8.5" style="17" customWidth="1"/>
    <col min="13" max="13" width="22" style="17" customWidth="1"/>
    <col min="14" max="17" width="7.5" style="17" hidden="1" customWidth="1"/>
    <col min="18" max="18" width="7.625" style="17" customWidth="1"/>
    <col min="19" max="19" width="7.5" style="17" hidden="1" customWidth="1"/>
    <col min="20" max="20" width="8.75" style="17" customWidth="1"/>
    <col min="21" max="21" width="7.5" style="17" customWidth="1"/>
    <col min="22" max="22" width="7.5" style="17" hidden="1" customWidth="1"/>
    <col min="23" max="23" width="7.5" style="17" customWidth="1"/>
    <col min="24" max="24" width="7.375" style="17" customWidth="1"/>
    <col min="25" max="27" width="9" style="17" hidden="1" customWidth="1"/>
    <col min="28" max="16384" width="9" style="17"/>
  </cols>
  <sheetData>
    <row r="1" s="17" customFormat="1" spans="1:1">
      <c r="A1" s="17" t="s">
        <v>0</v>
      </c>
    </row>
    <row r="2" s="17" customFormat="1" ht="20.25" spans="1:24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="17" customFormat="1" spans="1:24">
      <c r="A3" s="59" t="s">
        <v>2</v>
      </c>
      <c r="Q3" s="60"/>
      <c r="R3" s="60"/>
      <c r="S3" s="60"/>
      <c r="T3" s="60" t="s">
        <v>3</v>
      </c>
      <c r="U3" s="60"/>
      <c r="V3" s="60"/>
      <c r="W3" s="60"/>
      <c r="X3" s="60"/>
    </row>
    <row r="4" s="17" customFormat="1" ht="22" customHeight="1" spans="1:25">
      <c r="A4" s="45" t="s">
        <v>4</v>
      </c>
      <c r="B4" s="43" t="s">
        <v>5</v>
      </c>
      <c r="C4" s="44"/>
      <c r="D4" s="43" t="s">
        <v>6</v>
      </c>
      <c r="E4" s="44"/>
      <c r="F4" s="96" t="s">
        <v>7</v>
      </c>
      <c r="G4" s="96"/>
      <c r="H4" s="96"/>
      <c r="I4" s="96"/>
      <c r="J4" s="96"/>
      <c r="K4" s="96"/>
      <c r="L4" s="44"/>
      <c r="M4" s="45" t="s">
        <v>4</v>
      </c>
      <c r="N4" s="43" t="s">
        <v>5</v>
      </c>
      <c r="O4" s="44"/>
      <c r="P4" s="43" t="s">
        <v>6</v>
      </c>
      <c r="Q4" s="44"/>
      <c r="R4" s="45" t="s">
        <v>7</v>
      </c>
      <c r="S4" s="45"/>
      <c r="T4" s="45"/>
      <c r="U4" s="45"/>
      <c r="V4" s="45"/>
      <c r="W4" s="45"/>
      <c r="X4" s="45"/>
      <c r="Y4" s="45"/>
    </row>
    <row r="5" s="17" customFormat="1" ht="45" customHeight="1" spans="1:25">
      <c r="A5" s="45"/>
      <c r="B5" s="45" t="s">
        <v>8</v>
      </c>
      <c r="C5" s="45" t="s">
        <v>9</v>
      </c>
      <c r="D5" s="45" t="s">
        <v>8</v>
      </c>
      <c r="E5" s="45" t="s">
        <v>9</v>
      </c>
      <c r="F5" s="45" t="s">
        <v>8</v>
      </c>
      <c r="G5" s="45" t="s">
        <v>10</v>
      </c>
      <c r="H5" s="45" t="s">
        <v>11</v>
      </c>
      <c r="I5" s="45" t="s">
        <v>12</v>
      </c>
      <c r="J5" s="45" t="s">
        <v>13</v>
      </c>
      <c r="K5" s="45" t="s">
        <v>14</v>
      </c>
      <c r="L5" s="45" t="s">
        <v>15</v>
      </c>
      <c r="M5" s="45"/>
      <c r="N5" s="45" t="s">
        <v>8</v>
      </c>
      <c r="O5" s="45" t="s">
        <v>9</v>
      </c>
      <c r="P5" s="45" t="s">
        <v>8</v>
      </c>
      <c r="Q5" s="45" t="s">
        <v>9</v>
      </c>
      <c r="R5" s="45" t="s">
        <v>8</v>
      </c>
      <c r="S5" s="45" t="s">
        <v>10</v>
      </c>
      <c r="T5" s="45" t="s">
        <v>11</v>
      </c>
      <c r="U5" s="45" t="s">
        <v>12</v>
      </c>
      <c r="V5" s="45" t="s">
        <v>13</v>
      </c>
      <c r="W5" s="45" t="s">
        <v>14</v>
      </c>
      <c r="X5" s="45" t="s">
        <v>15</v>
      </c>
      <c r="Y5" s="45" t="s">
        <v>16</v>
      </c>
    </row>
    <row r="6" s="17" customFormat="1" spans="1:26">
      <c r="A6" s="97" t="s">
        <v>17</v>
      </c>
      <c r="B6" s="76">
        <f t="shared" ref="B6:H6" si="0">SUM(B7:B22)</f>
        <v>29505</v>
      </c>
      <c r="C6" s="76">
        <f t="shared" si="0"/>
        <v>18857</v>
      </c>
      <c r="D6" s="76">
        <f t="shared" si="0"/>
        <v>21825</v>
      </c>
      <c r="E6" s="76">
        <f t="shared" si="0"/>
        <v>23884</v>
      </c>
      <c r="F6" s="76">
        <f t="shared" si="0"/>
        <v>21883</v>
      </c>
      <c r="G6" s="76">
        <f t="shared" si="0"/>
        <v>20040</v>
      </c>
      <c r="H6" s="76">
        <f t="shared" si="0"/>
        <v>22638</v>
      </c>
      <c r="I6" s="75">
        <f>ROUND(H6/F6*100,2)</f>
        <v>103.45</v>
      </c>
      <c r="J6" s="75">
        <f>ROUND(H6/G6*100,2)</f>
        <v>112.96</v>
      </c>
      <c r="K6" s="76">
        <f>H6-E6</f>
        <v>-1246</v>
      </c>
      <c r="L6" s="75">
        <f>ROUND(K6/E6*100,2)</f>
        <v>-5.22</v>
      </c>
      <c r="M6" s="102" t="s">
        <v>18</v>
      </c>
      <c r="N6" s="103">
        <v>24206</v>
      </c>
      <c r="O6" s="104">
        <v>23034</v>
      </c>
      <c r="P6" s="76">
        <v>27698</v>
      </c>
      <c r="Q6" s="76">
        <v>32158</v>
      </c>
      <c r="R6" s="76">
        <v>31510</v>
      </c>
      <c r="S6" s="76">
        <v>25213</v>
      </c>
      <c r="T6" s="76">
        <v>24477</v>
      </c>
      <c r="U6" s="75">
        <f t="shared" ref="U6:U21" si="1">ROUND(T6/R6*100,2)</f>
        <v>77.68</v>
      </c>
      <c r="V6" s="75">
        <f t="shared" ref="V6:V21" si="2">ROUND(T6/S6*100,2)</f>
        <v>97.08</v>
      </c>
      <c r="W6" s="76">
        <f t="shared" ref="W6:W21" si="3">T6-Q6</f>
        <v>-7681</v>
      </c>
      <c r="X6" s="75">
        <f t="shared" ref="X6:X21" si="4">ROUND(W6/Q6*100,2)</f>
        <v>-23.89</v>
      </c>
      <c r="Y6" s="94">
        <v>736</v>
      </c>
      <c r="Z6" s="59">
        <f t="shared" ref="Z6:Z21" si="5">S6-T6</f>
        <v>736</v>
      </c>
    </row>
    <row r="7" s="17" customFormat="1" spans="1:25">
      <c r="A7" s="97" t="s">
        <v>19</v>
      </c>
      <c r="B7" s="76">
        <v>10600</v>
      </c>
      <c r="C7" s="76">
        <v>8708</v>
      </c>
      <c r="D7" s="76">
        <v>9200</v>
      </c>
      <c r="E7" s="76">
        <v>9803</v>
      </c>
      <c r="F7" s="76">
        <v>10080</v>
      </c>
      <c r="G7" s="76">
        <v>9985</v>
      </c>
      <c r="H7" s="76">
        <v>9961</v>
      </c>
      <c r="I7" s="75">
        <f t="shared" ref="I7:I32" si="6">ROUND(H7/F7*100,2)</f>
        <v>98.82</v>
      </c>
      <c r="J7" s="75">
        <f t="shared" ref="J7:J32" si="7">ROUND(H7/G7*100,2)</f>
        <v>99.76</v>
      </c>
      <c r="K7" s="76">
        <f t="shared" ref="K7:K32" si="8">H7-E7</f>
        <v>158</v>
      </c>
      <c r="L7" s="75">
        <f t="shared" ref="L7:L32" si="9">ROUND(K7/E7*100,2)</f>
        <v>1.61</v>
      </c>
      <c r="M7" s="102" t="s">
        <v>20</v>
      </c>
      <c r="N7" s="103"/>
      <c r="O7" s="104"/>
      <c r="P7" s="76"/>
      <c r="Q7" s="76"/>
      <c r="R7" s="76"/>
      <c r="S7" s="76"/>
      <c r="T7" s="76"/>
      <c r="U7" s="109"/>
      <c r="V7" s="109"/>
      <c r="W7" s="109"/>
      <c r="X7" s="109"/>
      <c r="Y7" s="94"/>
    </row>
    <row r="8" s="17" customFormat="1" spans="1:26">
      <c r="A8" s="97" t="s">
        <v>21</v>
      </c>
      <c r="B8" s="76">
        <v>2900</v>
      </c>
      <c r="C8" s="76">
        <v>1739</v>
      </c>
      <c r="D8" s="76">
        <v>2300</v>
      </c>
      <c r="E8" s="76">
        <v>1560</v>
      </c>
      <c r="F8" s="76">
        <v>1800</v>
      </c>
      <c r="G8" s="76">
        <v>1970</v>
      </c>
      <c r="H8" s="76">
        <v>2311</v>
      </c>
      <c r="I8" s="75">
        <f t="shared" si="6"/>
        <v>128.39</v>
      </c>
      <c r="J8" s="75">
        <f t="shared" si="7"/>
        <v>117.31</v>
      </c>
      <c r="K8" s="76">
        <f t="shared" si="8"/>
        <v>751</v>
      </c>
      <c r="L8" s="75">
        <f t="shared" si="9"/>
        <v>48.14</v>
      </c>
      <c r="M8" s="102" t="s">
        <v>22</v>
      </c>
      <c r="N8" s="103">
        <v>189</v>
      </c>
      <c r="O8" s="104">
        <v>199</v>
      </c>
      <c r="P8" s="76">
        <v>225</v>
      </c>
      <c r="Q8" s="76">
        <v>210</v>
      </c>
      <c r="R8" s="76">
        <v>333</v>
      </c>
      <c r="S8" s="76">
        <v>363</v>
      </c>
      <c r="T8" s="76">
        <v>363</v>
      </c>
      <c r="U8" s="75">
        <f t="shared" si="1"/>
        <v>109.01</v>
      </c>
      <c r="V8" s="75">
        <f t="shared" si="2"/>
        <v>100</v>
      </c>
      <c r="W8" s="76">
        <f t="shared" si="3"/>
        <v>153</v>
      </c>
      <c r="X8" s="75">
        <f t="shared" si="4"/>
        <v>72.86</v>
      </c>
      <c r="Y8" s="94"/>
      <c r="Z8" s="59">
        <f t="shared" si="5"/>
        <v>0</v>
      </c>
    </row>
    <row r="9" s="17" customFormat="1" spans="1:26">
      <c r="A9" s="97" t="s">
        <v>23</v>
      </c>
      <c r="B9" s="76"/>
      <c r="C9" s="76"/>
      <c r="D9" s="76"/>
      <c r="E9" s="76"/>
      <c r="F9" s="76"/>
      <c r="G9" s="76"/>
      <c r="H9" s="76"/>
      <c r="I9" s="75"/>
      <c r="J9" s="75"/>
      <c r="K9" s="76"/>
      <c r="L9" s="75"/>
      <c r="M9" s="102" t="s">
        <v>24</v>
      </c>
      <c r="N9" s="103">
        <v>8436</v>
      </c>
      <c r="O9" s="104">
        <v>7817</v>
      </c>
      <c r="P9" s="76">
        <v>11417</v>
      </c>
      <c r="Q9" s="76">
        <v>11317</v>
      </c>
      <c r="R9" s="76">
        <v>10808</v>
      </c>
      <c r="S9" s="76">
        <v>10340</v>
      </c>
      <c r="T9" s="76">
        <v>9833</v>
      </c>
      <c r="U9" s="75">
        <f t="shared" si="1"/>
        <v>90.98</v>
      </c>
      <c r="V9" s="75">
        <f t="shared" si="2"/>
        <v>95.1</v>
      </c>
      <c r="W9" s="76">
        <f t="shared" si="3"/>
        <v>-1484</v>
      </c>
      <c r="X9" s="75">
        <f t="shared" si="4"/>
        <v>-13.11</v>
      </c>
      <c r="Y9" s="94">
        <v>507</v>
      </c>
      <c r="Z9" s="59">
        <f t="shared" si="5"/>
        <v>507</v>
      </c>
    </row>
    <row r="10" s="17" customFormat="1" spans="1:26">
      <c r="A10" s="97" t="s">
        <v>25</v>
      </c>
      <c r="B10" s="76">
        <v>670</v>
      </c>
      <c r="C10" s="76">
        <v>481</v>
      </c>
      <c r="D10" s="76">
        <v>500</v>
      </c>
      <c r="E10" s="76">
        <v>554</v>
      </c>
      <c r="F10" s="76">
        <v>525</v>
      </c>
      <c r="G10" s="76">
        <v>460</v>
      </c>
      <c r="H10" s="76">
        <v>446</v>
      </c>
      <c r="I10" s="75">
        <f t="shared" si="6"/>
        <v>84.95</v>
      </c>
      <c r="J10" s="75">
        <f t="shared" si="7"/>
        <v>96.96</v>
      </c>
      <c r="K10" s="76">
        <f t="shared" si="8"/>
        <v>-108</v>
      </c>
      <c r="L10" s="75">
        <f t="shared" si="9"/>
        <v>-19.49</v>
      </c>
      <c r="M10" s="102" t="s">
        <v>26</v>
      </c>
      <c r="N10" s="102">
        <v>82454</v>
      </c>
      <c r="O10" s="102">
        <v>75681</v>
      </c>
      <c r="P10" s="102">
        <f>92708+1145</f>
        <v>93853</v>
      </c>
      <c r="Q10" s="102">
        <v>79780</v>
      </c>
      <c r="R10" s="102">
        <v>119414</v>
      </c>
      <c r="S10" s="102">
        <v>89386</v>
      </c>
      <c r="T10" s="102">
        <v>81148</v>
      </c>
      <c r="U10" s="102">
        <f t="shared" si="1"/>
        <v>67.96</v>
      </c>
      <c r="V10" s="102">
        <f t="shared" si="2"/>
        <v>90.78</v>
      </c>
      <c r="W10" s="102">
        <f t="shared" si="3"/>
        <v>1368</v>
      </c>
      <c r="X10" s="102">
        <f t="shared" si="4"/>
        <v>1.71</v>
      </c>
      <c r="Y10" s="94">
        <v>8238</v>
      </c>
      <c r="Z10" s="59">
        <f t="shared" si="5"/>
        <v>8238</v>
      </c>
    </row>
    <row r="11" s="17" customFormat="1" spans="1:26">
      <c r="A11" s="97" t="s">
        <v>27</v>
      </c>
      <c r="B11" s="76">
        <v>520</v>
      </c>
      <c r="C11" s="76">
        <v>266</v>
      </c>
      <c r="D11" s="76">
        <v>300</v>
      </c>
      <c r="E11" s="76">
        <v>657</v>
      </c>
      <c r="F11" s="76">
        <v>350</v>
      </c>
      <c r="G11" s="76">
        <v>296</v>
      </c>
      <c r="H11" s="76">
        <v>408</v>
      </c>
      <c r="I11" s="75">
        <f t="shared" si="6"/>
        <v>116.57</v>
      </c>
      <c r="J11" s="75">
        <f t="shared" si="7"/>
        <v>137.84</v>
      </c>
      <c r="K11" s="76">
        <f t="shared" si="8"/>
        <v>-249</v>
      </c>
      <c r="L11" s="75">
        <f t="shared" si="9"/>
        <v>-37.9</v>
      </c>
      <c r="M11" s="102" t="s">
        <v>28</v>
      </c>
      <c r="N11" s="102">
        <v>202</v>
      </c>
      <c r="O11" s="102">
        <v>210</v>
      </c>
      <c r="P11" s="102">
        <v>214</v>
      </c>
      <c r="Q11" s="102">
        <v>272</v>
      </c>
      <c r="R11" s="102">
        <v>2213</v>
      </c>
      <c r="S11" s="102">
        <v>708</v>
      </c>
      <c r="T11" s="102">
        <v>708</v>
      </c>
      <c r="U11" s="102">
        <f t="shared" si="1"/>
        <v>31.99</v>
      </c>
      <c r="V11" s="102">
        <f t="shared" si="2"/>
        <v>100</v>
      </c>
      <c r="W11" s="102">
        <f t="shared" si="3"/>
        <v>436</v>
      </c>
      <c r="X11" s="102">
        <f t="shared" si="4"/>
        <v>160.29</v>
      </c>
      <c r="Y11" s="94"/>
      <c r="Z11" s="59">
        <f t="shared" si="5"/>
        <v>0</v>
      </c>
    </row>
    <row r="12" s="17" customFormat="1" spans="1:26">
      <c r="A12" s="97" t="s">
        <v>29</v>
      </c>
      <c r="B12" s="76">
        <v>1730</v>
      </c>
      <c r="C12" s="76">
        <v>1274</v>
      </c>
      <c r="D12" s="76">
        <v>1500</v>
      </c>
      <c r="E12" s="76">
        <v>1338</v>
      </c>
      <c r="F12" s="76">
        <v>1200</v>
      </c>
      <c r="G12" s="76">
        <v>1274</v>
      </c>
      <c r="H12" s="76">
        <v>1341</v>
      </c>
      <c r="I12" s="75">
        <f t="shared" si="6"/>
        <v>111.75</v>
      </c>
      <c r="J12" s="75">
        <f t="shared" si="7"/>
        <v>105.26</v>
      </c>
      <c r="K12" s="76">
        <f t="shared" si="8"/>
        <v>3</v>
      </c>
      <c r="L12" s="75">
        <f t="shared" si="9"/>
        <v>0.22</v>
      </c>
      <c r="M12" s="102" t="s">
        <v>30</v>
      </c>
      <c r="N12" s="102">
        <v>2139</v>
      </c>
      <c r="O12" s="102">
        <v>2663</v>
      </c>
      <c r="P12" s="102">
        <v>5315</v>
      </c>
      <c r="Q12" s="102">
        <v>3105</v>
      </c>
      <c r="R12" s="102">
        <v>5957</v>
      </c>
      <c r="S12" s="102">
        <v>5158</v>
      </c>
      <c r="T12" s="102">
        <v>2909</v>
      </c>
      <c r="U12" s="102">
        <f t="shared" si="1"/>
        <v>48.83</v>
      </c>
      <c r="V12" s="102">
        <f t="shared" si="2"/>
        <v>56.4</v>
      </c>
      <c r="W12" s="102">
        <f t="shared" si="3"/>
        <v>-196</v>
      </c>
      <c r="X12" s="102">
        <f t="shared" si="4"/>
        <v>-6.31</v>
      </c>
      <c r="Y12" s="94">
        <v>2249</v>
      </c>
      <c r="Z12" s="59">
        <f t="shared" si="5"/>
        <v>2249</v>
      </c>
    </row>
    <row r="13" s="17" customFormat="1" spans="1:26">
      <c r="A13" s="97" t="s">
        <v>31</v>
      </c>
      <c r="B13" s="76">
        <v>600</v>
      </c>
      <c r="C13" s="76">
        <v>638</v>
      </c>
      <c r="D13" s="76">
        <v>600</v>
      </c>
      <c r="E13" s="76">
        <v>937</v>
      </c>
      <c r="F13" s="76">
        <v>600</v>
      </c>
      <c r="G13" s="76">
        <v>958</v>
      </c>
      <c r="H13" s="76">
        <v>1214</v>
      </c>
      <c r="I13" s="75">
        <f t="shared" si="6"/>
        <v>202.33</v>
      </c>
      <c r="J13" s="75">
        <f t="shared" si="7"/>
        <v>126.72</v>
      </c>
      <c r="K13" s="76">
        <f t="shared" si="8"/>
        <v>277</v>
      </c>
      <c r="L13" s="75">
        <f t="shared" si="9"/>
        <v>29.56</v>
      </c>
      <c r="M13" s="102" t="s">
        <v>32</v>
      </c>
      <c r="N13" s="102">
        <v>60770</v>
      </c>
      <c r="O13" s="102">
        <v>61130</v>
      </c>
      <c r="P13" s="102">
        <v>89301</v>
      </c>
      <c r="Q13" s="102">
        <v>65037</v>
      </c>
      <c r="R13" s="102">
        <v>89194</v>
      </c>
      <c r="S13" s="102">
        <v>84378</v>
      </c>
      <c r="T13" s="102">
        <v>83114</v>
      </c>
      <c r="U13" s="102">
        <f t="shared" si="1"/>
        <v>93.18</v>
      </c>
      <c r="V13" s="102">
        <f t="shared" si="2"/>
        <v>98.5</v>
      </c>
      <c r="W13" s="102">
        <f t="shared" si="3"/>
        <v>18077</v>
      </c>
      <c r="X13" s="102">
        <f t="shared" si="4"/>
        <v>27.79</v>
      </c>
      <c r="Y13" s="94">
        <v>1264</v>
      </c>
      <c r="Z13" s="59">
        <f t="shared" si="5"/>
        <v>1264</v>
      </c>
    </row>
    <row r="14" s="17" customFormat="1" spans="1:26">
      <c r="A14" s="97" t="s">
        <v>33</v>
      </c>
      <c r="B14" s="76">
        <v>500</v>
      </c>
      <c r="C14" s="76">
        <v>432</v>
      </c>
      <c r="D14" s="76">
        <v>450</v>
      </c>
      <c r="E14" s="76">
        <v>393</v>
      </c>
      <c r="F14" s="76">
        <v>450</v>
      </c>
      <c r="G14" s="76">
        <v>314</v>
      </c>
      <c r="H14" s="76">
        <v>463</v>
      </c>
      <c r="I14" s="75">
        <f t="shared" si="6"/>
        <v>102.89</v>
      </c>
      <c r="J14" s="75">
        <f t="shared" si="7"/>
        <v>147.45</v>
      </c>
      <c r="K14" s="76">
        <f t="shared" si="8"/>
        <v>70</v>
      </c>
      <c r="L14" s="75">
        <f t="shared" si="9"/>
        <v>17.81</v>
      </c>
      <c r="M14" s="102" t="s">
        <v>34</v>
      </c>
      <c r="N14" s="102">
        <v>26731</v>
      </c>
      <c r="O14" s="102">
        <v>21277</v>
      </c>
      <c r="P14" s="102">
        <v>48005</v>
      </c>
      <c r="Q14" s="102">
        <v>34834</v>
      </c>
      <c r="R14" s="102">
        <v>43769</v>
      </c>
      <c r="S14" s="102">
        <v>40062</v>
      </c>
      <c r="T14" s="102">
        <v>31837</v>
      </c>
      <c r="U14" s="102">
        <f t="shared" si="1"/>
        <v>72.74</v>
      </c>
      <c r="V14" s="102">
        <f t="shared" si="2"/>
        <v>79.47</v>
      </c>
      <c r="W14" s="102">
        <f t="shared" si="3"/>
        <v>-2997</v>
      </c>
      <c r="X14" s="102">
        <f t="shared" si="4"/>
        <v>-8.6</v>
      </c>
      <c r="Y14" s="94">
        <v>8225</v>
      </c>
      <c r="Z14" s="59">
        <f t="shared" si="5"/>
        <v>8225</v>
      </c>
    </row>
    <row r="15" s="17" customFormat="1" spans="1:26">
      <c r="A15" s="97" t="s">
        <v>35</v>
      </c>
      <c r="B15" s="76">
        <v>430</v>
      </c>
      <c r="C15" s="76">
        <v>345</v>
      </c>
      <c r="D15" s="76">
        <v>300</v>
      </c>
      <c r="E15" s="76">
        <v>604</v>
      </c>
      <c r="F15" s="76">
        <v>400</v>
      </c>
      <c r="G15" s="76">
        <v>502</v>
      </c>
      <c r="H15" s="76">
        <v>523</v>
      </c>
      <c r="I15" s="75">
        <f t="shared" si="6"/>
        <v>130.75</v>
      </c>
      <c r="J15" s="75">
        <f t="shared" si="7"/>
        <v>104.18</v>
      </c>
      <c r="K15" s="76">
        <f t="shared" si="8"/>
        <v>-81</v>
      </c>
      <c r="L15" s="75">
        <f t="shared" si="9"/>
        <v>-13.41</v>
      </c>
      <c r="M15" s="102" t="s">
        <v>36</v>
      </c>
      <c r="N15" s="102">
        <v>2032</v>
      </c>
      <c r="O15" s="102">
        <v>1994</v>
      </c>
      <c r="P15" s="102">
        <v>5292</v>
      </c>
      <c r="Q15" s="102">
        <v>3096</v>
      </c>
      <c r="R15" s="102">
        <v>5952</v>
      </c>
      <c r="S15" s="102">
        <v>8371</v>
      </c>
      <c r="T15" s="102">
        <v>2420</v>
      </c>
      <c r="U15" s="102">
        <f t="shared" si="1"/>
        <v>40.66</v>
      </c>
      <c r="V15" s="102">
        <f t="shared" si="2"/>
        <v>28.91</v>
      </c>
      <c r="W15" s="102">
        <f t="shared" si="3"/>
        <v>-676</v>
      </c>
      <c r="X15" s="102">
        <f t="shared" si="4"/>
        <v>-21.83</v>
      </c>
      <c r="Y15" s="94">
        <v>5951</v>
      </c>
      <c r="Z15" s="59">
        <f t="shared" si="5"/>
        <v>5951</v>
      </c>
    </row>
    <row r="16" s="17" customFormat="1" spans="1:26">
      <c r="A16" s="97" t="s">
        <v>37</v>
      </c>
      <c r="B16" s="76">
        <v>2610</v>
      </c>
      <c r="C16" s="76">
        <v>1482</v>
      </c>
      <c r="D16" s="76">
        <v>2500</v>
      </c>
      <c r="E16" s="76">
        <v>1706</v>
      </c>
      <c r="F16" s="76">
        <v>2500</v>
      </c>
      <c r="G16" s="76">
        <v>1066</v>
      </c>
      <c r="H16" s="76">
        <v>819</v>
      </c>
      <c r="I16" s="75">
        <f t="shared" si="6"/>
        <v>32.76</v>
      </c>
      <c r="J16" s="75">
        <f t="shared" si="7"/>
        <v>76.83</v>
      </c>
      <c r="K16" s="76">
        <f t="shared" si="8"/>
        <v>-887</v>
      </c>
      <c r="L16" s="75">
        <f t="shared" si="9"/>
        <v>-51.99</v>
      </c>
      <c r="M16" s="102" t="s">
        <v>38</v>
      </c>
      <c r="N16" s="102">
        <v>4670</v>
      </c>
      <c r="O16" s="102">
        <v>11495</v>
      </c>
      <c r="P16" s="102">
        <v>8808</v>
      </c>
      <c r="Q16" s="102">
        <v>11620</v>
      </c>
      <c r="R16" s="102">
        <v>15194</v>
      </c>
      <c r="S16" s="102">
        <v>13457</v>
      </c>
      <c r="T16" s="102">
        <v>8881</v>
      </c>
      <c r="U16" s="102">
        <f t="shared" si="1"/>
        <v>58.45</v>
      </c>
      <c r="V16" s="102">
        <f t="shared" si="2"/>
        <v>66</v>
      </c>
      <c r="W16" s="102">
        <f t="shared" si="3"/>
        <v>-2739</v>
      </c>
      <c r="X16" s="102">
        <f t="shared" si="4"/>
        <v>-23.57</v>
      </c>
      <c r="Y16" s="94">
        <v>4576</v>
      </c>
      <c r="Z16" s="59">
        <f t="shared" si="5"/>
        <v>4576</v>
      </c>
    </row>
    <row r="17" s="17" customFormat="1" spans="1:27">
      <c r="A17" s="97" t="s">
        <v>39</v>
      </c>
      <c r="B17" s="76">
        <v>900</v>
      </c>
      <c r="C17" s="76">
        <v>795</v>
      </c>
      <c r="D17" s="76">
        <v>800</v>
      </c>
      <c r="E17" s="76">
        <v>906</v>
      </c>
      <c r="F17" s="76">
        <v>850</v>
      </c>
      <c r="G17" s="76">
        <v>891</v>
      </c>
      <c r="H17" s="76">
        <v>1067</v>
      </c>
      <c r="I17" s="75">
        <f t="shared" si="6"/>
        <v>125.53</v>
      </c>
      <c r="J17" s="75">
        <f t="shared" si="7"/>
        <v>119.75</v>
      </c>
      <c r="K17" s="76">
        <f t="shared" si="8"/>
        <v>161</v>
      </c>
      <c r="L17" s="75">
        <f t="shared" si="9"/>
        <v>17.77</v>
      </c>
      <c r="M17" s="102" t="s">
        <v>40</v>
      </c>
      <c r="N17" s="102">
        <v>126139</v>
      </c>
      <c r="O17" s="102">
        <v>118744</v>
      </c>
      <c r="P17" s="102">
        <v>101181</v>
      </c>
      <c r="Q17" s="102">
        <v>126408</v>
      </c>
      <c r="R17" s="102">
        <v>100845</v>
      </c>
      <c r="S17" s="102">
        <v>152093</v>
      </c>
      <c r="T17" s="102">
        <v>122919</v>
      </c>
      <c r="U17" s="102">
        <f t="shared" si="1"/>
        <v>121.89</v>
      </c>
      <c r="V17" s="102">
        <f t="shared" si="2"/>
        <v>80.82</v>
      </c>
      <c r="W17" s="102">
        <f t="shared" si="3"/>
        <v>-3489</v>
      </c>
      <c r="X17" s="102">
        <f t="shared" si="4"/>
        <v>-2.76</v>
      </c>
      <c r="Y17" s="94">
        <v>29174</v>
      </c>
      <c r="Z17" s="59">
        <f t="shared" si="5"/>
        <v>29174</v>
      </c>
      <c r="AA17" s="17">
        <f>S17-R17</f>
        <v>51248</v>
      </c>
    </row>
    <row r="18" s="17" customFormat="1" spans="1:26">
      <c r="A18" s="97" t="s">
        <v>41</v>
      </c>
      <c r="B18" s="76">
        <v>3500</v>
      </c>
      <c r="C18" s="76">
        <v>410</v>
      </c>
      <c r="D18" s="76">
        <v>200</v>
      </c>
      <c r="E18" s="76">
        <v>2509</v>
      </c>
      <c r="F18" s="76">
        <v>200</v>
      </c>
      <c r="G18" s="76">
        <v>190</v>
      </c>
      <c r="H18" s="76">
        <v>1482</v>
      </c>
      <c r="I18" s="75">
        <f t="shared" si="6"/>
        <v>741</v>
      </c>
      <c r="J18" s="75">
        <f t="shared" si="7"/>
        <v>780</v>
      </c>
      <c r="K18" s="76">
        <f t="shared" si="8"/>
        <v>-1027</v>
      </c>
      <c r="L18" s="75">
        <f t="shared" si="9"/>
        <v>-40.93</v>
      </c>
      <c r="M18" s="102" t="s">
        <v>42</v>
      </c>
      <c r="N18" s="102">
        <v>2299</v>
      </c>
      <c r="O18" s="102">
        <v>13716</v>
      </c>
      <c r="P18" s="102">
        <v>61934</v>
      </c>
      <c r="Q18" s="102">
        <v>12704</v>
      </c>
      <c r="R18" s="102">
        <v>53383</v>
      </c>
      <c r="S18" s="102">
        <v>59103</v>
      </c>
      <c r="T18" s="102">
        <v>9655</v>
      </c>
      <c r="U18" s="102">
        <f t="shared" si="1"/>
        <v>18.09</v>
      </c>
      <c r="V18" s="102">
        <f t="shared" si="2"/>
        <v>16.34</v>
      </c>
      <c r="W18" s="102">
        <f t="shared" si="3"/>
        <v>-3049</v>
      </c>
      <c r="X18" s="102">
        <f t="shared" si="4"/>
        <v>-24</v>
      </c>
      <c r="Y18" s="94">
        <v>49448</v>
      </c>
      <c r="Z18" s="59">
        <f t="shared" si="5"/>
        <v>49448</v>
      </c>
    </row>
    <row r="19" s="17" customFormat="1" spans="1:26">
      <c r="A19" s="97" t="s">
        <v>43</v>
      </c>
      <c r="B19" s="76">
        <v>4500</v>
      </c>
      <c r="C19" s="76">
        <v>2257</v>
      </c>
      <c r="D19" s="76">
        <v>3145</v>
      </c>
      <c r="E19" s="76">
        <v>2887</v>
      </c>
      <c r="F19" s="76">
        <v>2900</v>
      </c>
      <c r="G19" s="76">
        <v>2075</v>
      </c>
      <c r="H19" s="76">
        <v>2549</v>
      </c>
      <c r="I19" s="75">
        <f t="shared" si="6"/>
        <v>87.9</v>
      </c>
      <c r="J19" s="75">
        <f t="shared" si="7"/>
        <v>122.84</v>
      </c>
      <c r="K19" s="76">
        <f t="shared" si="8"/>
        <v>-338</v>
      </c>
      <c r="L19" s="75">
        <f t="shared" si="9"/>
        <v>-11.71</v>
      </c>
      <c r="M19" s="102" t="s">
        <v>44</v>
      </c>
      <c r="N19" s="102">
        <v>122</v>
      </c>
      <c r="O19" s="102">
        <v>1493</v>
      </c>
      <c r="P19" s="102">
        <v>1732</v>
      </c>
      <c r="Q19" s="102">
        <v>738</v>
      </c>
      <c r="R19" s="102">
        <v>4727</v>
      </c>
      <c r="S19" s="102">
        <v>3284</v>
      </c>
      <c r="T19" s="102">
        <v>740</v>
      </c>
      <c r="U19" s="102">
        <f t="shared" si="1"/>
        <v>15.65</v>
      </c>
      <c r="V19" s="102">
        <f t="shared" si="2"/>
        <v>22.53</v>
      </c>
      <c r="W19" s="102">
        <f t="shared" si="3"/>
        <v>2</v>
      </c>
      <c r="X19" s="102">
        <f t="shared" si="4"/>
        <v>0.27</v>
      </c>
      <c r="Y19" s="94">
        <v>2544</v>
      </c>
      <c r="Z19" s="59">
        <f t="shared" si="5"/>
        <v>2544</v>
      </c>
    </row>
    <row r="20" s="17" customFormat="1" spans="1:26">
      <c r="A20" s="97" t="s">
        <v>45</v>
      </c>
      <c r="B20" s="76"/>
      <c r="C20" s="76"/>
      <c r="D20" s="76"/>
      <c r="E20" s="76"/>
      <c r="F20" s="76"/>
      <c r="G20" s="76"/>
      <c r="H20" s="76"/>
      <c r="I20" s="75"/>
      <c r="J20" s="75"/>
      <c r="K20" s="76"/>
      <c r="L20" s="75"/>
      <c r="M20" s="102" t="s">
        <v>46</v>
      </c>
      <c r="N20" s="102">
        <v>28</v>
      </c>
      <c r="O20" s="102">
        <v>656</v>
      </c>
      <c r="P20" s="102">
        <v>1366</v>
      </c>
      <c r="Q20" s="102">
        <v>233</v>
      </c>
      <c r="R20" s="102">
        <v>1185</v>
      </c>
      <c r="S20" s="102">
        <v>855</v>
      </c>
      <c r="T20" s="102">
        <v>802</v>
      </c>
      <c r="U20" s="102">
        <f t="shared" si="1"/>
        <v>67.68</v>
      </c>
      <c r="V20" s="102">
        <f t="shared" si="2"/>
        <v>93.8</v>
      </c>
      <c r="W20" s="102">
        <f t="shared" si="3"/>
        <v>569</v>
      </c>
      <c r="X20" s="102">
        <f t="shared" si="4"/>
        <v>244.21</v>
      </c>
      <c r="Y20" s="94">
        <v>53</v>
      </c>
      <c r="Z20" s="59">
        <f t="shared" si="5"/>
        <v>53</v>
      </c>
    </row>
    <row r="21" s="17" customFormat="1" spans="1:26">
      <c r="A21" s="98" t="s">
        <v>47</v>
      </c>
      <c r="B21" s="76">
        <v>45</v>
      </c>
      <c r="C21" s="76">
        <v>30</v>
      </c>
      <c r="D21" s="76">
        <v>30</v>
      </c>
      <c r="E21" s="76">
        <v>30</v>
      </c>
      <c r="F21" s="76">
        <v>28</v>
      </c>
      <c r="G21" s="76">
        <v>59</v>
      </c>
      <c r="H21" s="76">
        <v>54</v>
      </c>
      <c r="I21" s="75">
        <f t="shared" si="6"/>
        <v>192.86</v>
      </c>
      <c r="J21" s="75">
        <f t="shared" si="7"/>
        <v>91.53</v>
      </c>
      <c r="K21" s="76">
        <f t="shared" si="8"/>
        <v>24</v>
      </c>
      <c r="L21" s="75">
        <f t="shared" si="9"/>
        <v>80</v>
      </c>
      <c r="M21" s="102" t="s">
        <v>48</v>
      </c>
      <c r="N21" s="102"/>
      <c r="O21" s="102">
        <v>897</v>
      </c>
      <c r="P21" s="102">
        <v>1516</v>
      </c>
      <c r="Q21" s="102">
        <v>467</v>
      </c>
      <c r="R21" s="102">
        <v>2849</v>
      </c>
      <c r="S21" s="102">
        <v>1028</v>
      </c>
      <c r="T21" s="102">
        <v>950</v>
      </c>
      <c r="U21" s="102">
        <f t="shared" si="1"/>
        <v>33.35</v>
      </c>
      <c r="V21" s="102">
        <f t="shared" si="2"/>
        <v>92.41</v>
      </c>
      <c r="W21" s="102">
        <f t="shared" si="3"/>
        <v>483</v>
      </c>
      <c r="X21" s="102">
        <f t="shared" si="4"/>
        <v>103.43</v>
      </c>
      <c r="Y21" s="94">
        <v>78</v>
      </c>
      <c r="Z21" s="59">
        <f t="shared" si="5"/>
        <v>78</v>
      </c>
    </row>
    <row r="22" s="17" customFormat="1" spans="1:25">
      <c r="A22" s="97" t="s">
        <v>49</v>
      </c>
      <c r="B22" s="76"/>
      <c r="C22" s="76"/>
      <c r="D22" s="76"/>
      <c r="E22" s="76"/>
      <c r="F22" s="76"/>
      <c r="G22" s="76"/>
      <c r="H22" s="76"/>
      <c r="I22" s="75"/>
      <c r="J22" s="75"/>
      <c r="K22" s="76"/>
      <c r="L22" s="75"/>
      <c r="M22" s="102" t="s">
        <v>50</v>
      </c>
      <c r="N22" s="103"/>
      <c r="O22" s="104"/>
      <c r="P22" s="76"/>
      <c r="Q22" s="76"/>
      <c r="R22" s="76"/>
      <c r="S22" s="76"/>
      <c r="T22" s="76"/>
      <c r="U22" s="75"/>
      <c r="V22" s="75"/>
      <c r="W22" s="75"/>
      <c r="X22" s="75"/>
      <c r="Y22" s="94"/>
    </row>
    <row r="23" s="17" customFormat="1" spans="1:26">
      <c r="A23" s="97" t="s">
        <v>51</v>
      </c>
      <c r="B23" s="76">
        <f t="shared" ref="B23:H23" si="10">SUM(B24:B31)</f>
        <v>42780</v>
      </c>
      <c r="C23" s="76">
        <f t="shared" si="10"/>
        <v>41994</v>
      </c>
      <c r="D23" s="76">
        <f t="shared" si="10"/>
        <v>32435</v>
      </c>
      <c r="E23" s="76">
        <f t="shared" si="10"/>
        <v>27717</v>
      </c>
      <c r="F23" s="76">
        <f t="shared" si="10"/>
        <v>35100</v>
      </c>
      <c r="G23" s="76">
        <f t="shared" si="10"/>
        <v>31554</v>
      </c>
      <c r="H23" s="76">
        <f t="shared" si="10"/>
        <v>32757</v>
      </c>
      <c r="I23" s="75">
        <f t="shared" si="6"/>
        <v>93.32</v>
      </c>
      <c r="J23" s="75">
        <f t="shared" si="7"/>
        <v>103.81</v>
      </c>
      <c r="K23" s="76">
        <f t="shared" si="8"/>
        <v>5040</v>
      </c>
      <c r="L23" s="75">
        <f t="shared" si="9"/>
        <v>18.18</v>
      </c>
      <c r="M23" s="102" t="s">
        <v>52</v>
      </c>
      <c r="N23" s="103">
        <v>971</v>
      </c>
      <c r="O23" s="104">
        <v>1911</v>
      </c>
      <c r="P23" s="76">
        <v>2263</v>
      </c>
      <c r="Q23" s="76">
        <v>1989</v>
      </c>
      <c r="R23" s="76">
        <v>3849</v>
      </c>
      <c r="S23" s="76">
        <v>3062</v>
      </c>
      <c r="T23" s="76">
        <v>1483</v>
      </c>
      <c r="U23" s="75">
        <f t="shared" ref="U23:U26" si="11">ROUND(T23/R23*100,2)</f>
        <v>38.53</v>
      </c>
      <c r="V23" s="75">
        <f t="shared" ref="V23:V26" si="12">ROUND(T23/S23*100,2)</f>
        <v>48.43</v>
      </c>
      <c r="W23" s="76">
        <f t="shared" ref="W23:W26" si="13">T23-Q23</f>
        <v>-506</v>
      </c>
      <c r="X23" s="75">
        <f t="shared" ref="X23:X26" si="14">ROUND(W23/Q23*100,2)</f>
        <v>-25.44</v>
      </c>
      <c r="Y23" s="94">
        <v>1579</v>
      </c>
      <c r="Z23" s="59">
        <f t="shared" ref="Z23:Z26" si="15">S23-T23</f>
        <v>1579</v>
      </c>
    </row>
    <row r="24" s="17" customFormat="1" spans="1:26">
      <c r="A24" s="97" t="s">
        <v>53</v>
      </c>
      <c r="B24" s="99">
        <v>1850</v>
      </c>
      <c r="C24" s="99">
        <v>2029</v>
      </c>
      <c r="D24" s="76">
        <v>2000</v>
      </c>
      <c r="E24" s="76">
        <v>1826</v>
      </c>
      <c r="F24" s="76">
        <v>2000</v>
      </c>
      <c r="G24" s="76">
        <v>1879</v>
      </c>
      <c r="H24" s="76">
        <v>1902</v>
      </c>
      <c r="I24" s="75">
        <f t="shared" si="6"/>
        <v>95.1</v>
      </c>
      <c r="J24" s="75">
        <f t="shared" si="7"/>
        <v>101.22</v>
      </c>
      <c r="K24" s="76">
        <f t="shared" si="8"/>
        <v>76</v>
      </c>
      <c r="L24" s="75">
        <f t="shared" si="9"/>
        <v>4.16</v>
      </c>
      <c r="M24" s="102" t="s">
        <v>54</v>
      </c>
      <c r="N24" s="103">
        <v>13329</v>
      </c>
      <c r="O24" s="104">
        <v>5409</v>
      </c>
      <c r="P24" s="76">
        <v>16792</v>
      </c>
      <c r="Q24" s="76">
        <v>12574</v>
      </c>
      <c r="R24" s="76">
        <v>10515</v>
      </c>
      <c r="S24" s="76">
        <v>17509</v>
      </c>
      <c r="T24" s="76">
        <v>12258</v>
      </c>
      <c r="U24" s="75">
        <f t="shared" si="11"/>
        <v>116.58</v>
      </c>
      <c r="V24" s="75">
        <f t="shared" si="12"/>
        <v>70.01</v>
      </c>
      <c r="W24" s="76">
        <f t="shared" si="13"/>
        <v>-316</v>
      </c>
      <c r="X24" s="75">
        <f t="shared" si="14"/>
        <v>-2.51</v>
      </c>
      <c r="Y24" s="94">
        <v>5251</v>
      </c>
      <c r="Z24" s="59">
        <f t="shared" si="15"/>
        <v>5251</v>
      </c>
    </row>
    <row r="25" s="17" customFormat="1" ht="24" spans="1:25">
      <c r="A25" s="97" t="s">
        <v>55</v>
      </c>
      <c r="B25" s="99">
        <v>3000</v>
      </c>
      <c r="C25" s="99">
        <v>1018</v>
      </c>
      <c r="D25" s="76">
        <f>1000+1145</f>
        <v>2145</v>
      </c>
      <c r="E25" s="76">
        <v>3919</v>
      </c>
      <c r="F25" s="76">
        <v>2000</v>
      </c>
      <c r="G25" s="76">
        <v>2540</v>
      </c>
      <c r="H25" s="76">
        <v>2709</v>
      </c>
      <c r="I25" s="75">
        <f t="shared" si="6"/>
        <v>135.45</v>
      </c>
      <c r="J25" s="75">
        <f t="shared" si="7"/>
        <v>106.65</v>
      </c>
      <c r="K25" s="76">
        <f t="shared" si="8"/>
        <v>-1210</v>
      </c>
      <c r="L25" s="75">
        <f t="shared" si="9"/>
        <v>-30.88</v>
      </c>
      <c r="M25" s="102" t="s">
        <v>56</v>
      </c>
      <c r="N25" s="103">
        <v>424</v>
      </c>
      <c r="O25" s="104">
        <v>349</v>
      </c>
      <c r="P25" s="76">
        <v>1072</v>
      </c>
      <c r="Q25" s="76">
        <v>240</v>
      </c>
      <c r="R25" s="76">
        <v>432</v>
      </c>
      <c r="S25" s="76">
        <v>152</v>
      </c>
      <c r="T25" s="76">
        <v>152</v>
      </c>
      <c r="U25" s="75">
        <f t="shared" si="11"/>
        <v>35.19</v>
      </c>
      <c r="V25" s="75">
        <f t="shared" si="12"/>
        <v>100</v>
      </c>
      <c r="W25" s="76">
        <f t="shared" si="13"/>
        <v>-88</v>
      </c>
      <c r="X25" s="75">
        <f t="shared" si="14"/>
        <v>-36.67</v>
      </c>
      <c r="Y25" s="94"/>
    </row>
    <row r="26" s="17" customFormat="1" spans="1:26">
      <c r="A26" s="97" t="s">
        <v>57</v>
      </c>
      <c r="B26" s="99">
        <v>2500</v>
      </c>
      <c r="C26" s="99">
        <v>22978</v>
      </c>
      <c r="D26" s="76">
        <v>2200</v>
      </c>
      <c r="E26" s="76">
        <v>4023</v>
      </c>
      <c r="F26" s="76">
        <v>2500</v>
      </c>
      <c r="G26" s="76">
        <v>3879</v>
      </c>
      <c r="H26" s="76">
        <v>5624</v>
      </c>
      <c r="I26" s="75">
        <f t="shared" si="6"/>
        <v>224.96</v>
      </c>
      <c r="J26" s="75">
        <f t="shared" si="7"/>
        <v>144.99</v>
      </c>
      <c r="K26" s="76">
        <f t="shared" si="8"/>
        <v>1601</v>
      </c>
      <c r="L26" s="75">
        <f t="shared" si="9"/>
        <v>39.8</v>
      </c>
      <c r="M26" s="102" t="s">
        <v>58</v>
      </c>
      <c r="N26" s="103">
        <v>1711</v>
      </c>
      <c r="O26" s="104">
        <v>3542</v>
      </c>
      <c r="P26" s="76">
        <v>4353</v>
      </c>
      <c r="Q26" s="76">
        <v>3611</v>
      </c>
      <c r="R26" s="76">
        <v>6646</v>
      </c>
      <c r="S26" s="76">
        <v>6456</v>
      </c>
      <c r="T26" s="76">
        <v>5037</v>
      </c>
      <c r="U26" s="75">
        <f t="shared" si="11"/>
        <v>75.79</v>
      </c>
      <c r="V26" s="75">
        <f t="shared" si="12"/>
        <v>78.02</v>
      </c>
      <c r="W26" s="76">
        <f t="shared" si="13"/>
        <v>1426</v>
      </c>
      <c r="X26" s="75">
        <f t="shared" si="14"/>
        <v>39.49</v>
      </c>
      <c r="Y26" s="94">
        <v>1419</v>
      </c>
      <c r="Z26" s="59">
        <f t="shared" si="15"/>
        <v>1419</v>
      </c>
    </row>
    <row r="27" s="17" customFormat="1" ht="24" spans="1:25">
      <c r="A27" s="97" t="s">
        <v>59</v>
      </c>
      <c r="B27" s="99"/>
      <c r="C27" s="99"/>
      <c r="D27" s="76"/>
      <c r="E27" s="76"/>
      <c r="F27" s="76"/>
      <c r="G27" s="76"/>
      <c r="H27" s="76"/>
      <c r="I27" s="75"/>
      <c r="J27" s="75"/>
      <c r="K27" s="76"/>
      <c r="L27" s="75"/>
      <c r="M27" s="102" t="s">
        <v>60</v>
      </c>
      <c r="N27" s="103">
        <v>3000</v>
      </c>
      <c r="O27" s="104"/>
      <c r="P27" s="76">
        <f>3826-482</f>
        <v>3344</v>
      </c>
      <c r="Q27" s="76"/>
      <c r="R27" s="76">
        <v>3363</v>
      </c>
      <c r="S27" s="76"/>
      <c r="T27" s="76"/>
      <c r="U27" s="109"/>
      <c r="V27" s="109"/>
      <c r="W27" s="109"/>
      <c r="X27" s="109"/>
      <c r="Y27" s="94"/>
    </row>
    <row r="28" s="17" customFormat="1" ht="24" spans="1:25">
      <c r="A28" s="97" t="s">
        <v>61</v>
      </c>
      <c r="B28" s="99">
        <v>34630</v>
      </c>
      <c r="C28" s="99">
        <v>14461</v>
      </c>
      <c r="D28" s="76">
        <v>25790</v>
      </c>
      <c r="E28" s="76">
        <v>16829</v>
      </c>
      <c r="F28" s="76">
        <v>27400</v>
      </c>
      <c r="G28" s="76">
        <v>22818</v>
      </c>
      <c r="H28" s="76">
        <v>22027</v>
      </c>
      <c r="I28" s="75">
        <f t="shared" si="6"/>
        <v>80.39</v>
      </c>
      <c r="J28" s="75">
        <f t="shared" si="7"/>
        <v>96.53</v>
      </c>
      <c r="K28" s="76">
        <f t="shared" si="8"/>
        <v>5198</v>
      </c>
      <c r="L28" s="75">
        <f t="shared" si="9"/>
        <v>30.89</v>
      </c>
      <c r="M28" s="102" t="s">
        <v>62</v>
      </c>
      <c r="N28" s="103">
        <v>19656</v>
      </c>
      <c r="O28" s="104">
        <v>-20290</v>
      </c>
      <c r="P28" s="76">
        <v>44205</v>
      </c>
      <c r="Q28" s="76">
        <v>195</v>
      </c>
      <c r="R28" s="76">
        <v>45535</v>
      </c>
      <c r="S28" s="76"/>
      <c r="T28" s="76"/>
      <c r="U28" s="75"/>
      <c r="V28" s="75"/>
      <c r="W28" s="75"/>
      <c r="X28" s="75"/>
      <c r="Y28" s="94"/>
    </row>
    <row r="29" s="17" customFormat="1" spans="1:26">
      <c r="A29" s="97" t="s">
        <v>63</v>
      </c>
      <c r="B29" s="99">
        <v>200</v>
      </c>
      <c r="C29" s="99">
        <v>69</v>
      </c>
      <c r="D29" s="76">
        <v>100</v>
      </c>
      <c r="E29" s="76">
        <v>46</v>
      </c>
      <c r="F29" s="76"/>
      <c r="G29" s="76"/>
      <c r="H29" s="76"/>
      <c r="I29" s="75"/>
      <c r="J29" s="75"/>
      <c r="K29" s="76"/>
      <c r="L29" s="75"/>
      <c r="M29" s="102" t="s">
        <v>64</v>
      </c>
      <c r="N29" s="103"/>
      <c r="O29" s="104">
        <v>5771</v>
      </c>
      <c r="P29" s="76">
        <v>6342</v>
      </c>
      <c r="Q29" s="76">
        <v>6501</v>
      </c>
      <c r="R29" s="76">
        <v>1840</v>
      </c>
      <c r="S29" s="76">
        <v>8388</v>
      </c>
      <c r="T29" s="76">
        <v>8388</v>
      </c>
      <c r="U29" s="75">
        <f t="shared" ref="U29:U32" si="16">ROUND(T29/R29*100,2)</f>
        <v>455.87</v>
      </c>
      <c r="V29" s="75">
        <f t="shared" ref="V29:V32" si="17">ROUND(T29/S29*100,2)</f>
        <v>100</v>
      </c>
      <c r="W29" s="76">
        <f t="shared" ref="W29:W32" si="18">T29-Q29</f>
        <v>1887</v>
      </c>
      <c r="X29" s="75">
        <f t="shared" ref="X29:X32" si="19">ROUND(W29/Q29*100,2)</f>
        <v>29.03</v>
      </c>
      <c r="Y29" s="94"/>
      <c r="Z29" s="59">
        <f>S29-T29</f>
        <v>0</v>
      </c>
    </row>
    <row r="30" s="17" customFormat="1" ht="24" spans="1:26">
      <c r="A30" s="97" t="s">
        <v>65</v>
      </c>
      <c r="B30" s="99">
        <v>100</v>
      </c>
      <c r="C30" s="99">
        <v>275</v>
      </c>
      <c r="D30" s="76">
        <v>100</v>
      </c>
      <c r="E30" s="76">
        <v>224</v>
      </c>
      <c r="F30" s="76">
        <v>200</v>
      </c>
      <c r="G30" s="76">
        <v>18</v>
      </c>
      <c r="H30" s="76">
        <v>25</v>
      </c>
      <c r="I30" s="75">
        <f t="shared" si="6"/>
        <v>12.5</v>
      </c>
      <c r="J30" s="75">
        <f t="shared" si="7"/>
        <v>138.89</v>
      </c>
      <c r="K30" s="76">
        <f t="shared" si="8"/>
        <v>-199</v>
      </c>
      <c r="L30" s="75">
        <f t="shared" si="9"/>
        <v>-88.84</v>
      </c>
      <c r="M30" s="102" t="s">
        <v>66</v>
      </c>
      <c r="N30" s="103"/>
      <c r="O30" s="104">
        <v>89</v>
      </c>
      <c r="P30" s="76"/>
      <c r="Q30" s="76">
        <v>39</v>
      </c>
      <c r="R30" s="76"/>
      <c r="S30" s="76">
        <v>25</v>
      </c>
      <c r="T30" s="76">
        <v>25</v>
      </c>
      <c r="U30" s="75"/>
      <c r="V30" s="75">
        <f t="shared" si="17"/>
        <v>100</v>
      </c>
      <c r="W30" s="76">
        <f t="shared" si="18"/>
        <v>-14</v>
      </c>
      <c r="X30" s="75">
        <f t="shared" si="19"/>
        <v>-35.9</v>
      </c>
      <c r="Y30" s="94"/>
      <c r="Z30" s="59">
        <f>S30-T30</f>
        <v>0</v>
      </c>
    </row>
    <row r="31" s="17" customFormat="1" spans="1:25">
      <c r="A31" s="97" t="s">
        <v>67</v>
      </c>
      <c r="B31" s="99">
        <v>500</v>
      </c>
      <c r="C31" s="99">
        <v>1164</v>
      </c>
      <c r="D31" s="76">
        <v>100</v>
      </c>
      <c r="E31" s="76">
        <v>850</v>
      </c>
      <c r="F31" s="76">
        <v>1000</v>
      </c>
      <c r="G31" s="76">
        <v>420</v>
      </c>
      <c r="H31" s="76">
        <v>470</v>
      </c>
      <c r="I31" s="75">
        <f t="shared" si="6"/>
        <v>47</v>
      </c>
      <c r="J31" s="75">
        <f t="shared" si="7"/>
        <v>111.9</v>
      </c>
      <c r="K31" s="76">
        <f t="shared" si="8"/>
        <v>-380</v>
      </c>
      <c r="L31" s="75">
        <f t="shared" si="9"/>
        <v>-44.71</v>
      </c>
      <c r="M31" s="102" t="s">
        <v>68</v>
      </c>
      <c r="N31" s="105">
        <v>48439</v>
      </c>
      <c r="O31" s="104"/>
      <c r="P31" s="76"/>
      <c r="Q31" s="76"/>
      <c r="R31" s="76"/>
      <c r="S31" s="76"/>
      <c r="T31" s="76"/>
      <c r="U31" s="110"/>
      <c r="V31" s="110"/>
      <c r="W31" s="110"/>
      <c r="X31" s="110"/>
      <c r="Y31" s="94"/>
    </row>
    <row r="32" s="17" customFormat="1" spans="1:26">
      <c r="A32" s="100" t="s">
        <v>69</v>
      </c>
      <c r="B32" s="93">
        <f t="shared" ref="B32:H32" si="20">B6+B23</f>
        <v>72285</v>
      </c>
      <c r="C32" s="93">
        <f t="shared" si="20"/>
        <v>60851</v>
      </c>
      <c r="D32" s="93">
        <f t="shared" si="20"/>
        <v>54260</v>
      </c>
      <c r="E32" s="93">
        <f t="shared" si="20"/>
        <v>51601</v>
      </c>
      <c r="F32" s="93">
        <f t="shared" si="20"/>
        <v>56983</v>
      </c>
      <c r="G32" s="93">
        <f t="shared" si="20"/>
        <v>51594</v>
      </c>
      <c r="H32" s="93">
        <f t="shared" si="20"/>
        <v>55395</v>
      </c>
      <c r="I32" s="92">
        <f t="shared" si="6"/>
        <v>97.21</v>
      </c>
      <c r="J32" s="92">
        <f t="shared" si="7"/>
        <v>107.37</v>
      </c>
      <c r="K32" s="93">
        <f t="shared" si="8"/>
        <v>3794</v>
      </c>
      <c r="L32" s="92">
        <f t="shared" si="9"/>
        <v>7.35</v>
      </c>
      <c r="M32" s="45" t="s">
        <v>70</v>
      </c>
      <c r="N32" s="106">
        <f t="shared" ref="N32:T32" si="21">SUM(N6:N31)</f>
        <v>427947</v>
      </c>
      <c r="O32" s="106">
        <f t="shared" si="21"/>
        <v>337787</v>
      </c>
      <c r="P32" s="93">
        <f t="shared" si="21"/>
        <v>536228</v>
      </c>
      <c r="Q32" s="93">
        <f t="shared" si="21"/>
        <v>407128</v>
      </c>
      <c r="R32" s="93">
        <f t="shared" si="21"/>
        <v>559513</v>
      </c>
      <c r="S32" s="93">
        <f t="shared" si="21"/>
        <v>529391</v>
      </c>
      <c r="T32" s="93">
        <f t="shared" si="21"/>
        <v>408099</v>
      </c>
      <c r="U32" s="92">
        <f t="shared" si="16"/>
        <v>72.94</v>
      </c>
      <c r="V32" s="92">
        <f t="shared" si="17"/>
        <v>77.09</v>
      </c>
      <c r="W32" s="93">
        <f t="shared" si="18"/>
        <v>971</v>
      </c>
      <c r="X32" s="92">
        <f t="shared" si="19"/>
        <v>0.24</v>
      </c>
      <c r="Y32" s="93">
        <f>SUM(Y6:Y31)</f>
        <v>121292</v>
      </c>
      <c r="Z32" s="59">
        <f>ROUND((T32+136780)/R32*100,2)</f>
        <v>97.38</v>
      </c>
    </row>
    <row r="33" s="17" customFormat="1" spans="1:25">
      <c r="A33" s="97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107"/>
      <c r="N33" s="105"/>
      <c r="O33" s="104"/>
      <c r="P33" s="108"/>
      <c r="Q33" s="110"/>
      <c r="R33" s="110"/>
      <c r="S33" s="110"/>
      <c r="T33" s="110"/>
      <c r="U33" s="110"/>
      <c r="V33" s="110"/>
      <c r="W33" s="110"/>
      <c r="X33" s="110"/>
      <c r="Y33" s="77"/>
    </row>
    <row r="34" s="17" customFormat="1" spans="1:25">
      <c r="A34" s="101" t="s">
        <v>71</v>
      </c>
      <c r="B34" s="76">
        <f t="shared" ref="B34:H34" si="22">SUM(B35,B42,B81)</f>
        <v>282164</v>
      </c>
      <c r="C34" s="76">
        <f t="shared" si="22"/>
        <v>369267</v>
      </c>
      <c r="D34" s="76">
        <f t="shared" si="22"/>
        <v>316160</v>
      </c>
      <c r="E34" s="76">
        <f t="shared" si="22"/>
        <v>363453</v>
      </c>
      <c r="F34" s="76">
        <f t="shared" si="22"/>
        <v>316996</v>
      </c>
      <c r="G34" s="76">
        <f t="shared" si="22"/>
        <v>337746</v>
      </c>
      <c r="H34" s="76">
        <f t="shared" si="22"/>
        <v>337746</v>
      </c>
      <c r="I34" s="75">
        <f t="shared" ref="I34:I38" si="23">ROUND(H34/F34*100,2)</f>
        <v>106.55</v>
      </c>
      <c r="J34" s="75">
        <f t="shared" ref="J34:J38" si="24">ROUND(H34/G34*100,2)</f>
        <v>100</v>
      </c>
      <c r="K34" s="76">
        <f t="shared" ref="K34:K38" si="25">H34-E34</f>
        <v>-25707</v>
      </c>
      <c r="L34" s="75">
        <f t="shared" ref="L34:L38" si="26">ROUND(K34/E34*100,2)</f>
        <v>-7.07</v>
      </c>
      <c r="M34" s="102" t="s">
        <v>72</v>
      </c>
      <c r="N34" s="35">
        <f t="shared" ref="N34:T34" si="27">SUM(N35,N42,N81)</f>
        <v>0</v>
      </c>
      <c r="O34" s="35">
        <f t="shared" si="27"/>
        <v>0</v>
      </c>
      <c r="P34" s="35">
        <f t="shared" si="27"/>
        <v>0</v>
      </c>
      <c r="Q34" s="35">
        <f t="shared" si="27"/>
        <v>0</v>
      </c>
      <c r="R34" s="35">
        <f t="shared" si="27"/>
        <v>0</v>
      </c>
      <c r="S34" s="35">
        <f t="shared" si="27"/>
        <v>0</v>
      </c>
      <c r="T34" s="35">
        <f t="shared" si="27"/>
        <v>0</v>
      </c>
      <c r="U34" s="35"/>
      <c r="V34" s="35"/>
      <c r="W34" s="35">
        <f>SUM(W35,W42,W81)</f>
        <v>0</v>
      </c>
      <c r="X34" s="35"/>
      <c r="Y34" s="77"/>
    </row>
    <row r="35" s="17" customFormat="1" spans="1:25">
      <c r="A35" s="101" t="s">
        <v>73</v>
      </c>
      <c r="B35" s="76">
        <f t="shared" ref="B35:H35" si="28">SUM(B36:B41)</f>
        <v>5459</v>
      </c>
      <c r="C35" s="76">
        <f t="shared" si="28"/>
        <v>5459</v>
      </c>
      <c r="D35" s="76">
        <f t="shared" si="28"/>
        <v>5459</v>
      </c>
      <c r="E35" s="76">
        <f t="shared" si="28"/>
        <v>5459</v>
      </c>
      <c r="F35" s="76">
        <f t="shared" si="28"/>
        <v>5459</v>
      </c>
      <c r="G35" s="76">
        <f t="shared" si="28"/>
        <v>5459</v>
      </c>
      <c r="H35" s="76">
        <f t="shared" si="28"/>
        <v>5459</v>
      </c>
      <c r="I35" s="75">
        <f t="shared" si="23"/>
        <v>100</v>
      </c>
      <c r="J35" s="75">
        <f t="shared" si="24"/>
        <v>100</v>
      </c>
      <c r="K35" s="35">
        <f t="shared" si="25"/>
        <v>0</v>
      </c>
      <c r="L35" s="35">
        <f t="shared" si="26"/>
        <v>0</v>
      </c>
      <c r="M35" s="101" t="s">
        <v>74</v>
      </c>
      <c r="N35" s="35">
        <f t="shared" ref="N35:T35" si="29">SUM(N36:N41)</f>
        <v>0</v>
      </c>
      <c r="O35" s="35">
        <f t="shared" si="29"/>
        <v>0</v>
      </c>
      <c r="P35" s="35">
        <f t="shared" si="29"/>
        <v>0</v>
      </c>
      <c r="Q35" s="35">
        <f t="shared" si="29"/>
        <v>0</v>
      </c>
      <c r="R35" s="35">
        <f t="shared" si="29"/>
        <v>0</v>
      </c>
      <c r="S35" s="35">
        <f t="shared" si="29"/>
        <v>0</v>
      </c>
      <c r="T35" s="35">
        <f t="shared" si="29"/>
        <v>0</v>
      </c>
      <c r="U35" s="35"/>
      <c r="V35" s="35"/>
      <c r="W35" s="35">
        <f>SUM(W36:W41)</f>
        <v>0</v>
      </c>
      <c r="X35" s="35"/>
      <c r="Y35" s="77"/>
    </row>
    <row r="36" s="17" customFormat="1" spans="1:25">
      <c r="A36" s="97" t="s">
        <v>75</v>
      </c>
      <c r="B36" s="99">
        <v>433</v>
      </c>
      <c r="C36" s="76">
        <v>433</v>
      </c>
      <c r="D36" s="76">
        <v>433</v>
      </c>
      <c r="E36" s="76">
        <v>433</v>
      </c>
      <c r="F36" s="76">
        <v>433</v>
      </c>
      <c r="G36" s="76">
        <v>433</v>
      </c>
      <c r="H36" s="76">
        <v>433</v>
      </c>
      <c r="I36" s="75">
        <f t="shared" si="23"/>
        <v>100</v>
      </c>
      <c r="J36" s="75">
        <f t="shared" si="24"/>
        <v>100</v>
      </c>
      <c r="K36" s="35">
        <f t="shared" si="25"/>
        <v>0</v>
      </c>
      <c r="L36" s="35">
        <f t="shared" si="26"/>
        <v>0</v>
      </c>
      <c r="M36" s="97" t="s">
        <v>76</v>
      </c>
      <c r="N36" s="105"/>
      <c r="O36" s="104"/>
      <c r="P36" s="104"/>
      <c r="Q36" s="110"/>
      <c r="R36" s="110"/>
      <c r="S36" s="110"/>
      <c r="T36" s="110"/>
      <c r="U36" s="110"/>
      <c r="V36" s="110"/>
      <c r="W36" s="110"/>
      <c r="X36" s="110"/>
      <c r="Y36" s="77"/>
    </row>
    <row r="37" s="17" customFormat="1" ht="24" spans="1:25">
      <c r="A37" s="97" t="s">
        <v>77</v>
      </c>
      <c r="B37" s="99">
        <v>285</v>
      </c>
      <c r="C37" s="76">
        <v>285</v>
      </c>
      <c r="D37" s="76">
        <v>285</v>
      </c>
      <c r="E37" s="76">
        <v>285</v>
      </c>
      <c r="F37" s="76">
        <v>285</v>
      </c>
      <c r="G37" s="76">
        <v>285</v>
      </c>
      <c r="H37" s="76">
        <v>285</v>
      </c>
      <c r="I37" s="75">
        <f t="shared" si="23"/>
        <v>100</v>
      </c>
      <c r="J37" s="75">
        <f t="shared" si="24"/>
        <v>100</v>
      </c>
      <c r="K37" s="35">
        <f t="shared" si="25"/>
        <v>0</v>
      </c>
      <c r="L37" s="35">
        <f t="shared" si="26"/>
        <v>0</v>
      </c>
      <c r="M37" s="97" t="s">
        <v>78</v>
      </c>
      <c r="N37" s="105"/>
      <c r="O37" s="104"/>
      <c r="P37" s="104"/>
      <c r="Q37" s="110"/>
      <c r="R37" s="110"/>
      <c r="S37" s="110"/>
      <c r="T37" s="110"/>
      <c r="U37" s="110"/>
      <c r="V37" s="110"/>
      <c r="W37" s="110"/>
      <c r="X37" s="110"/>
      <c r="Y37" s="77"/>
    </row>
    <row r="38" s="17" customFormat="1" spans="1:25">
      <c r="A38" s="97" t="s">
        <v>79</v>
      </c>
      <c r="B38" s="99">
        <v>2718</v>
      </c>
      <c r="C38" s="76">
        <v>2718</v>
      </c>
      <c r="D38" s="76">
        <v>2718</v>
      </c>
      <c r="E38" s="76">
        <v>2718</v>
      </c>
      <c r="F38" s="76">
        <v>2718</v>
      </c>
      <c r="G38" s="76">
        <v>2718</v>
      </c>
      <c r="H38" s="76">
        <v>2718</v>
      </c>
      <c r="I38" s="75">
        <f t="shared" si="23"/>
        <v>100</v>
      </c>
      <c r="J38" s="75">
        <f t="shared" si="24"/>
        <v>100</v>
      </c>
      <c r="K38" s="35">
        <f t="shared" si="25"/>
        <v>0</v>
      </c>
      <c r="L38" s="35">
        <f t="shared" si="26"/>
        <v>0</v>
      </c>
      <c r="M38" s="97" t="s">
        <v>80</v>
      </c>
      <c r="N38" s="105"/>
      <c r="O38" s="104"/>
      <c r="P38" s="104"/>
      <c r="Q38" s="110"/>
      <c r="R38" s="110"/>
      <c r="S38" s="110"/>
      <c r="T38" s="110"/>
      <c r="U38" s="110"/>
      <c r="V38" s="110"/>
      <c r="W38" s="110"/>
      <c r="X38" s="110"/>
      <c r="Y38" s="77"/>
    </row>
    <row r="39" s="17" customFormat="1" spans="1:25">
      <c r="A39" s="97" t="s">
        <v>81</v>
      </c>
      <c r="B39" s="99">
        <v>0</v>
      </c>
      <c r="C39" s="76"/>
      <c r="D39" s="76"/>
      <c r="E39" s="76"/>
      <c r="F39" s="76"/>
      <c r="G39" s="76"/>
      <c r="H39" s="76"/>
      <c r="I39" s="75"/>
      <c r="J39" s="75"/>
      <c r="K39" s="35"/>
      <c r="L39" s="35"/>
      <c r="M39" s="97" t="s">
        <v>82</v>
      </c>
      <c r="N39" s="105"/>
      <c r="O39" s="104"/>
      <c r="P39" s="104"/>
      <c r="Q39" s="110"/>
      <c r="R39" s="110"/>
      <c r="S39" s="110"/>
      <c r="T39" s="110"/>
      <c r="U39" s="110"/>
      <c r="V39" s="110"/>
      <c r="W39" s="110"/>
      <c r="X39" s="110"/>
      <c r="Y39" s="77"/>
    </row>
    <row r="40" s="17" customFormat="1" ht="24" spans="1:25">
      <c r="A40" s="97" t="s">
        <v>83</v>
      </c>
      <c r="B40" s="99">
        <v>833</v>
      </c>
      <c r="C40" s="76">
        <v>833</v>
      </c>
      <c r="D40" s="76">
        <v>833</v>
      </c>
      <c r="E40" s="76">
        <v>833</v>
      </c>
      <c r="F40" s="76">
        <v>833</v>
      </c>
      <c r="G40" s="76">
        <v>833</v>
      </c>
      <c r="H40" s="76">
        <v>833</v>
      </c>
      <c r="I40" s="75">
        <f t="shared" ref="I40:I46" si="30">ROUND(H40/F40*100,2)</f>
        <v>100</v>
      </c>
      <c r="J40" s="75">
        <f t="shared" ref="J40:J46" si="31">ROUND(H40/G40*100,2)</f>
        <v>100</v>
      </c>
      <c r="K40" s="35">
        <f t="shared" ref="K40:K46" si="32">H40-E40</f>
        <v>0</v>
      </c>
      <c r="L40" s="35">
        <f t="shared" ref="L40:L46" si="33">ROUND(K40/E40*100,2)</f>
        <v>0</v>
      </c>
      <c r="M40" s="97" t="s">
        <v>84</v>
      </c>
      <c r="N40" s="105"/>
      <c r="O40" s="104"/>
      <c r="P40" s="104"/>
      <c r="Q40" s="110"/>
      <c r="R40" s="110"/>
      <c r="S40" s="110"/>
      <c r="T40" s="110"/>
      <c r="U40" s="110"/>
      <c r="V40" s="110"/>
      <c r="W40" s="110"/>
      <c r="X40" s="110"/>
      <c r="Y40" s="77"/>
    </row>
    <row r="41" s="17" customFormat="1" ht="12" customHeight="1" spans="1:25">
      <c r="A41" s="97" t="s">
        <v>85</v>
      </c>
      <c r="B41" s="99">
        <v>1190</v>
      </c>
      <c r="C41" s="76">
        <v>1190</v>
      </c>
      <c r="D41" s="76">
        <v>1190</v>
      </c>
      <c r="E41" s="76">
        <v>1190</v>
      </c>
      <c r="F41" s="76">
        <v>1190</v>
      </c>
      <c r="G41" s="76">
        <v>1190</v>
      </c>
      <c r="H41" s="76">
        <v>1190</v>
      </c>
      <c r="I41" s="75">
        <f t="shared" si="30"/>
        <v>100</v>
      </c>
      <c r="J41" s="75">
        <f t="shared" si="31"/>
        <v>100</v>
      </c>
      <c r="K41" s="35">
        <f t="shared" si="32"/>
        <v>0</v>
      </c>
      <c r="L41" s="35">
        <f t="shared" si="33"/>
        <v>0</v>
      </c>
      <c r="M41" s="97" t="s">
        <v>86</v>
      </c>
      <c r="N41" s="105"/>
      <c r="O41" s="104"/>
      <c r="P41" s="104"/>
      <c r="Q41" s="110"/>
      <c r="R41" s="110"/>
      <c r="S41" s="110"/>
      <c r="T41" s="110"/>
      <c r="U41" s="110"/>
      <c r="V41" s="110"/>
      <c r="W41" s="110"/>
      <c r="X41" s="110"/>
      <c r="Y41" s="77"/>
    </row>
    <row r="42" s="17" customFormat="1" spans="1:25">
      <c r="A42" s="101" t="s">
        <v>87</v>
      </c>
      <c r="B42" s="76">
        <f t="shared" ref="B42:H42" si="34">SUM(B43:B80)</f>
        <v>251045</v>
      </c>
      <c r="C42" s="76">
        <f t="shared" si="34"/>
        <v>317353</v>
      </c>
      <c r="D42" s="76">
        <f t="shared" si="34"/>
        <v>283249</v>
      </c>
      <c r="E42" s="76">
        <f t="shared" si="34"/>
        <v>325935</v>
      </c>
      <c r="F42" s="76">
        <f t="shared" si="34"/>
        <v>296561</v>
      </c>
      <c r="G42" s="76">
        <f t="shared" si="34"/>
        <v>306965</v>
      </c>
      <c r="H42" s="76">
        <f t="shared" si="34"/>
        <v>306965</v>
      </c>
      <c r="I42" s="75">
        <f t="shared" si="30"/>
        <v>103.51</v>
      </c>
      <c r="J42" s="75">
        <f t="shared" si="31"/>
        <v>100</v>
      </c>
      <c r="K42" s="76">
        <f t="shared" si="32"/>
        <v>-18970</v>
      </c>
      <c r="L42" s="75">
        <f t="shared" si="33"/>
        <v>-5.82</v>
      </c>
      <c r="M42" s="101" t="s">
        <v>88</v>
      </c>
      <c r="N42" s="35">
        <f t="shared" ref="N42:T42" si="35">SUM(N43:N80)</f>
        <v>0</v>
      </c>
      <c r="O42" s="35">
        <f t="shared" si="35"/>
        <v>0</v>
      </c>
      <c r="P42" s="35">
        <f t="shared" si="35"/>
        <v>0</v>
      </c>
      <c r="Q42" s="35">
        <f t="shared" si="35"/>
        <v>0</v>
      </c>
      <c r="R42" s="35">
        <f t="shared" si="35"/>
        <v>0</v>
      </c>
      <c r="S42" s="35">
        <f t="shared" si="35"/>
        <v>0</v>
      </c>
      <c r="T42" s="35">
        <f t="shared" si="35"/>
        <v>0</v>
      </c>
      <c r="U42" s="35"/>
      <c r="V42" s="35"/>
      <c r="W42" s="35">
        <f>SUM(W43:W80)</f>
        <v>0</v>
      </c>
      <c r="X42" s="35"/>
      <c r="Y42" s="77"/>
    </row>
    <row r="43" s="17" customFormat="1" spans="1:25">
      <c r="A43" s="97" t="s">
        <v>89</v>
      </c>
      <c r="B43" s="99">
        <v>1951</v>
      </c>
      <c r="C43" s="76">
        <v>1951</v>
      </c>
      <c r="D43" s="76">
        <v>1951</v>
      </c>
      <c r="E43" s="76">
        <v>1951</v>
      </c>
      <c r="F43" s="76">
        <v>1951</v>
      </c>
      <c r="G43" s="76">
        <v>1951</v>
      </c>
      <c r="H43" s="76">
        <v>1951</v>
      </c>
      <c r="I43" s="75">
        <f t="shared" si="30"/>
        <v>100</v>
      </c>
      <c r="J43" s="75">
        <f t="shared" si="31"/>
        <v>100</v>
      </c>
      <c r="K43" s="35">
        <f t="shared" si="32"/>
        <v>0</v>
      </c>
      <c r="L43" s="35">
        <f t="shared" si="33"/>
        <v>0</v>
      </c>
      <c r="M43" s="97" t="s">
        <v>90</v>
      </c>
      <c r="N43" s="105"/>
      <c r="O43" s="104"/>
      <c r="P43" s="104"/>
      <c r="Q43" s="110"/>
      <c r="R43" s="110"/>
      <c r="S43" s="110"/>
      <c r="T43" s="110"/>
      <c r="U43" s="110"/>
      <c r="V43" s="110"/>
      <c r="W43" s="110"/>
      <c r="X43" s="110"/>
      <c r="Y43" s="77"/>
    </row>
    <row r="44" s="17" customFormat="1" spans="1:25">
      <c r="A44" s="97" t="s">
        <v>91</v>
      </c>
      <c r="B44" s="99">
        <v>59811</v>
      </c>
      <c r="C44" s="76">
        <v>65448</v>
      </c>
      <c r="D44" s="76">
        <v>60000</v>
      </c>
      <c r="E44" s="76">
        <v>68421</v>
      </c>
      <c r="F44" s="76">
        <v>61422</v>
      </c>
      <c r="G44" s="76">
        <v>69773</v>
      </c>
      <c r="H44" s="76">
        <v>69773</v>
      </c>
      <c r="I44" s="75">
        <f t="shared" si="30"/>
        <v>113.6</v>
      </c>
      <c r="J44" s="75">
        <f t="shared" si="31"/>
        <v>100</v>
      </c>
      <c r="K44" s="76">
        <f t="shared" si="32"/>
        <v>1352</v>
      </c>
      <c r="L44" s="75">
        <f t="shared" si="33"/>
        <v>1.98</v>
      </c>
      <c r="M44" s="97" t="s">
        <v>92</v>
      </c>
      <c r="N44" s="105"/>
      <c r="O44" s="104"/>
      <c r="P44" s="104"/>
      <c r="Q44" s="110"/>
      <c r="R44" s="110"/>
      <c r="S44" s="110"/>
      <c r="T44" s="110"/>
      <c r="U44" s="110"/>
      <c r="V44" s="110"/>
      <c r="W44" s="110"/>
      <c r="X44" s="110"/>
      <c r="Y44" s="77"/>
    </row>
    <row r="45" s="17" customFormat="1" ht="24" spans="1:25">
      <c r="A45" s="97" t="s">
        <v>93</v>
      </c>
      <c r="B45" s="99">
        <v>19239</v>
      </c>
      <c r="C45" s="76">
        <v>22868</v>
      </c>
      <c r="D45" s="76">
        <v>20231</v>
      </c>
      <c r="E45" s="76">
        <v>24074</v>
      </c>
      <c r="F45" s="76">
        <v>19590</v>
      </c>
      <c r="G45" s="76">
        <v>24123</v>
      </c>
      <c r="H45" s="76">
        <v>24123</v>
      </c>
      <c r="I45" s="75">
        <f t="shared" si="30"/>
        <v>123.14</v>
      </c>
      <c r="J45" s="75">
        <f t="shared" si="31"/>
        <v>100</v>
      </c>
      <c r="K45" s="76">
        <f t="shared" si="32"/>
        <v>49</v>
      </c>
      <c r="L45" s="75">
        <f t="shared" si="33"/>
        <v>0.2</v>
      </c>
      <c r="M45" s="97" t="s">
        <v>94</v>
      </c>
      <c r="N45" s="105"/>
      <c r="O45" s="104"/>
      <c r="P45" s="104"/>
      <c r="Q45" s="110"/>
      <c r="R45" s="110"/>
      <c r="S45" s="110"/>
      <c r="T45" s="110"/>
      <c r="U45" s="110"/>
      <c r="V45" s="110"/>
      <c r="W45" s="110"/>
      <c r="X45" s="110"/>
      <c r="Y45" s="77"/>
    </row>
    <row r="46" s="17" customFormat="1" spans="1:25">
      <c r="A46" s="97" t="s">
        <v>95</v>
      </c>
      <c r="B46" s="99">
        <v>329</v>
      </c>
      <c r="C46" s="76">
        <v>4869</v>
      </c>
      <c r="D46" s="76">
        <v>2877</v>
      </c>
      <c r="E46" s="76">
        <v>6858</v>
      </c>
      <c r="F46" s="76">
        <v>3388</v>
      </c>
      <c r="G46" s="76">
        <v>5186</v>
      </c>
      <c r="H46" s="76">
        <v>5186</v>
      </c>
      <c r="I46" s="75">
        <f t="shared" si="30"/>
        <v>153.07</v>
      </c>
      <c r="J46" s="75">
        <f t="shared" si="31"/>
        <v>100</v>
      </c>
      <c r="K46" s="76">
        <f t="shared" si="32"/>
        <v>-1672</v>
      </c>
      <c r="L46" s="75">
        <f t="shared" si="33"/>
        <v>-24.38</v>
      </c>
      <c r="M46" s="97" t="s">
        <v>96</v>
      </c>
      <c r="N46" s="105"/>
      <c r="O46" s="104"/>
      <c r="P46" s="104"/>
      <c r="Q46" s="110"/>
      <c r="R46" s="110"/>
      <c r="S46" s="110"/>
      <c r="T46" s="110"/>
      <c r="U46" s="110"/>
      <c r="V46" s="110"/>
      <c r="W46" s="110"/>
      <c r="X46" s="110"/>
      <c r="Y46" s="77"/>
    </row>
    <row r="47" s="17" customFormat="1" ht="24" spans="1:25">
      <c r="A47" s="97" t="s">
        <v>97</v>
      </c>
      <c r="B47" s="99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97" t="s">
        <v>98</v>
      </c>
      <c r="N47" s="105"/>
      <c r="O47" s="104"/>
      <c r="P47" s="104"/>
      <c r="Q47" s="110"/>
      <c r="R47" s="110"/>
      <c r="S47" s="110"/>
      <c r="T47" s="110"/>
      <c r="U47" s="110"/>
      <c r="V47" s="110"/>
      <c r="W47" s="110"/>
      <c r="X47" s="110"/>
      <c r="Y47" s="77"/>
    </row>
    <row r="48" s="17" customFormat="1" ht="24" spans="1:25">
      <c r="A48" s="97" t="s">
        <v>99</v>
      </c>
      <c r="B48" s="99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97" t="s">
        <v>100</v>
      </c>
      <c r="N48" s="105"/>
      <c r="O48" s="104"/>
      <c r="P48" s="104"/>
      <c r="Q48" s="110"/>
      <c r="R48" s="110"/>
      <c r="S48" s="110"/>
      <c r="T48" s="110"/>
      <c r="U48" s="110"/>
      <c r="V48" s="110"/>
      <c r="W48" s="110"/>
      <c r="X48" s="110"/>
      <c r="Y48" s="77"/>
    </row>
    <row r="49" s="17" customFormat="1" ht="24" spans="1:25">
      <c r="A49" s="97" t="s">
        <v>101</v>
      </c>
      <c r="B49" s="99">
        <v>546</v>
      </c>
      <c r="C49" s="76">
        <v>547</v>
      </c>
      <c r="D49" s="76">
        <v>547</v>
      </c>
      <c r="E49" s="76">
        <v>581</v>
      </c>
      <c r="F49" s="76">
        <v>493</v>
      </c>
      <c r="G49" s="76">
        <v>580</v>
      </c>
      <c r="H49" s="76">
        <v>580</v>
      </c>
      <c r="I49" s="75">
        <f t="shared" ref="I49:I53" si="36">ROUND(H49/F49*100,2)</f>
        <v>117.65</v>
      </c>
      <c r="J49" s="75">
        <f t="shared" ref="J49:J53" si="37">ROUND(H49/G49*100,2)</f>
        <v>100</v>
      </c>
      <c r="K49" s="76">
        <f t="shared" ref="K49:K53" si="38">H49-E49</f>
        <v>-1</v>
      </c>
      <c r="L49" s="75">
        <f t="shared" ref="L49:L53" si="39">ROUND(K49/E49*100,2)</f>
        <v>-0.17</v>
      </c>
      <c r="M49" s="97" t="s">
        <v>102</v>
      </c>
      <c r="N49" s="105"/>
      <c r="O49" s="104"/>
      <c r="P49" s="104"/>
      <c r="Q49" s="110"/>
      <c r="R49" s="110"/>
      <c r="S49" s="110"/>
      <c r="T49" s="110"/>
      <c r="U49" s="110"/>
      <c r="V49" s="110"/>
      <c r="W49" s="110"/>
      <c r="X49" s="110"/>
      <c r="Y49" s="77"/>
    </row>
    <row r="50" s="17" customFormat="1" ht="24" spans="1:25">
      <c r="A50" s="97" t="s">
        <v>103</v>
      </c>
      <c r="B50" s="99">
        <v>11775</v>
      </c>
      <c r="C50" s="76">
        <v>13043</v>
      </c>
      <c r="D50" s="76">
        <v>11684</v>
      </c>
      <c r="E50" s="76">
        <v>12892</v>
      </c>
      <c r="F50" s="76">
        <v>12008</v>
      </c>
      <c r="G50" s="76">
        <v>13542</v>
      </c>
      <c r="H50" s="76">
        <v>13542</v>
      </c>
      <c r="I50" s="75">
        <f t="shared" si="36"/>
        <v>112.77</v>
      </c>
      <c r="J50" s="75">
        <f t="shared" si="37"/>
        <v>100</v>
      </c>
      <c r="K50" s="76">
        <f t="shared" si="38"/>
        <v>650</v>
      </c>
      <c r="L50" s="75">
        <f t="shared" si="39"/>
        <v>5.04</v>
      </c>
      <c r="M50" s="97" t="s">
        <v>104</v>
      </c>
      <c r="N50" s="105"/>
      <c r="O50" s="104"/>
      <c r="P50" s="104"/>
      <c r="Q50" s="110"/>
      <c r="R50" s="110"/>
      <c r="S50" s="110"/>
      <c r="T50" s="110"/>
      <c r="U50" s="110"/>
      <c r="V50" s="110"/>
      <c r="W50" s="110"/>
      <c r="X50" s="110"/>
      <c r="Y50" s="77"/>
    </row>
    <row r="51" s="17" customFormat="1" spans="1:25">
      <c r="A51" s="97" t="s">
        <v>105</v>
      </c>
      <c r="B51" s="99">
        <v>18433</v>
      </c>
      <c r="C51" s="76">
        <v>18440</v>
      </c>
      <c r="D51" s="76">
        <v>18433</v>
      </c>
      <c r="E51" s="76">
        <v>21044</v>
      </c>
      <c r="F51" s="76">
        <v>19171</v>
      </c>
      <c r="G51" s="76">
        <v>19514</v>
      </c>
      <c r="H51" s="76">
        <v>19514</v>
      </c>
      <c r="I51" s="75">
        <f t="shared" si="36"/>
        <v>101.79</v>
      </c>
      <c r="J51" s="75">
        <f t="shared" si="37"/>
        <v>100</v>
      </c>
      <c r="K51" s="76">
        <f t="shared" si="38"/>
        <v>-1530</v>
      </c>
      <c r="L51" s="75">
        <f t="shared" si="39"/>
        <v>-7.27</v>
      </c>
      <c r="M51" s="97" t="s">
        <v>106</v>
      </c>
      <c r="N51" s="105"/>
      <c r="O51" s="104"/>
      <c r="P51" s="104"/>
      <c r="Q51" s="110"/>
      <c r="R51" s="110"/>
      <c r="S51" s="110"/>
      <c r="T51" s="110"/>
      <c r="U51" s="110"/>
      <c r="V51" s="110"/>
      <c r="W51" s="110"/>
      <c r="X51" s="110"/>
      <c r="Y51" s="77"/>
    </row>
    <row r="52" s="17" customFormat="1" spans="1:25">
      <c r="A52" s="97" t="s">
        <v>107</v>
      </c>
      <c r="B52" s="99">
        <v>1104</v>
      </c>
      <c r="C52" s="76">
        <v>1289</v>
      </c>
      <c r="D52" s="76">
        <v>1215</v>
      </c>
      <c r="E52" s="76">
        <v>1494</v>
      </c>
      <c r="F52" s="76">
        <v>1345</v>
      </c>
      <c r="G52" s="76">
        <v>1494</v>
      </c>
      <c r="H52" s="76">
        <v>1494</v>
      </c>
      <c r="I52" s="75">
        <f t="shared" si="36"/>
        <v>111.08</v>
      </c>
      <c r="J52" s="75">
        <f t="shared" si="37"/>
        <v>100</v>
      </c>
      <c r="K52" s="35">
        <f t="shared" si="38"/>
        <v>0</v>
      </c>
      <c r="L52" s="75">
        <f t="shared" si="39"/>
        <v>0</v>
      </c>
      <c r="M52" s="97" t="s">
        <v>108</v>
      </c>
      <c r="N52" s="105"/>
      <c r="O52" s="104"/>
      <c r="P52" s="104"/>
      <c r="Q52" s="110"/>
      <c r="R52" s="110"/>
      <c r="S52" s="110"/>
      <c r="T52" s="110"/>
      <c r="U52" s="110"/>
      <c r="V52" s="110"/>
      <c r="W52" s="110"/>
      <c r="X52" s="110"/>
      <c r="Y52" s="77"/>
    </row>
    <row r="53" s="17" customFormat="1" spans="1:25">
      <c r="A53" s="97" t="s">
        <v>109</v>
      </c>
      <c r="B53" s="99">
        <v>12340</v>
      </c>
      <c r="C53" s="76">
        <v>13173</v>
      </c>
      <c r="D53" s="76">
        <v>13080</v>
      </c>
      <c r="E53" s="76">
        <v>14021</v>
      </c>
      <c r="F53" s="76">
        <v>13865</v>
      </c>
      <c r="G53" s="76">
        <v>13865</v>
      </c>
      <c r="H53" s="76">
        <v>13865</v>
      </c>
      <c r="I53" s="75">
        <f t="shared" si="36"/>
        <v>100</v>
      </c>
      <c r="J53" s="75">
        <f t="shared" si="37"/>
        <v>100</v>
      </c>
      <c r="K53" s="76">
        <f t="shared" si="38"/>
        <v>-156</v>
      </c>
      <c r="L53" s="75">
        <f t="shared" si="39"/>
        <v>-1.11</v>
      </c>
      <c r="M53" s="97" t="s">
        <v>110</v>
      </c>
      <c r="N53" s="105"/>
      <c r="O53" s="104"/>
      <c r="P53" s="104"/>
      <c r="Q53" s="110"/>
      <c r="R53" s="110"/>
      <c r="S53" s="110"/>
      <c r="T53" s="110"/>
      <c r="U53" s="110"/>
      <c r="V53" s="110"/>
      <c r="W53" s="110"/>
      <c r="X53" s="110"/>
      <c r="Y53" s="77"/>
    </row>
    <row r="54" s="17" customFormat="1" spans="1:25">
      <c r="A54" s="97" t="s">
        <v>111</v>
      </c>
      <c r="B54" s="99"/>
      <c r="C54" s="76"/>
      <c r="D54" s="76"/>
      <c r="E54" s="76"/>
      <c r="F54" s="76"/>
      <c r="G54" s="76"/>
      <c r="H54" s="76"/>
      <c r="I54" s="75"/>
      <c r="J54" s="75"/>
      <c r="K54" s="75"/>
      <c r="L54" s="75"/>
      <c r="M54" s="97" t="s">
        <v>112</v>
      </c>
      <c r="N54" s="105"/>
      <c r="O54" s="104"/>
      <c r="P54" s="104"/>
      <c r="Q54" s="110"/>
      <c r="R54" s="110"/>
      <c r="S54" s="110"/>
      <c r="T54" s="110"/>
      <c r="U54" s="110"/>
      <c r="V54" s="110"/>
      <c r="W54" s="110"/>
      <c r="X54" s="110"/>
      <c r="Y54" s="77"/>
    </row>
    <row r="55" s="17" customFormat="1" ht="24" spans="1:25">
      <c r="A55" s="97" t="s">
        <v>113</v>
      </c>
      <c r="B55" s="99">
        <v>67133</v>
      </c>
      <c r="C55" s="76">
        <v>51537</v>
      </c>
      <c r="D55" s="76">
        <v>50000</v>
      </c>
      <c r="E55" s="76">
        <v>67030</v>
      </c>
      <c r="F55" s="76">
        <v>66000</v>
      </c>
      <c r="G55" s="76">
        <v>67018</v>
      </c>
      <c r="H55" s="76">
        <v>67018</v>
      </c>
      <c r="I55" s="75">
        <f t="shared" ref="I55:I60" si="40">ROUND(H55/F55*100,2)</f>
        <v>101.54</v>
      </c>
      <c r="J55" s="75">
        <f t="shared" ref="J55:J60" si="41">ROUND(H55/G55*100,2)</f>
        <v>100</v>
      </c>
      <c r="K55" s="76">
        <f t="shared" ref="K55:K60" si="42">H55-E55</f>
        <v>-12</v>
      </c>
      <c r="L55" s="75">
        <f t="shared" ref="L55:L60" si="43">ROUND(K55/E55*100,2)</f>
        <v>-0.02</v>
      </c>
      <c r="M55" s="97" t="s">
        <v>114</v>
      </c>
      <c r="N55" s="105"/>
      <c r="O55" s="104"/>
      <c r="P55" s="104"/>
      <c r="Q55" s="110"/>
      <c r="R55" s="110"/>
      <c r="S55" s="110"/>
      <c r="T55" s="110"/>
      <c r="U55" s="110"/>
      <c r="V55" s="110"/>
      <c r="W55" s="110"/>
      <c r="X55" s="110"/>
      <c r="Y55" s="77"/>
    </row>
    <row r="56" s="17" customFormat="1" ht="24" spans="1:25">
      <c r="A56" s="97" t="s">
        <v>115</v>
      </c>
      <c r="B56" s="99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97" t="s">
        <v>116</v>
      </c>
      <c r="N56" s="105"/>
      <c r="O56" s="104"/>
      <c r="P56" s="104"/>
      <c r="Q56" s="110"/>
      <c r="R56" s="110"/>
      <c r="S56" s="110"/>
      <c r="T56" s="110"/>
      <c r="U56" s="110"/>
      <c r="V56" s="110"/>
      <c r="W56" s="110"/>
      <c r="X56" s="110"/>
      <c r="Y56" s="77"/>
    </row>
    <row r="57" s="17" customFormat="1" ht="24" spans="1:25">
      <c r="A57" s="97" t="s">
        <v>117</v>
      </c>
      <c r="B57" s="99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97" t="s">
        <v>118</v>
      </c>
      <c r="N57" s="105"/>
      <c r="O57" s="104"/>
      <c r="P57" s="104"/>
      <c r="Q57" s="110"/>
      <c r="R57" s="110"/>
      <c r="S57" s="110"/>
      <c r="T57" s="110"/>
      <c r="U57" s="110"/>
      <c r="V57" s="110"/>
      <c r="W57" s="110"/>
      <c r="X57" s="110"/>
      <c r="Y57" s="77"/>
    </row>
    <row r="58" s="17" customFormat="1" ht="24" spans="1:25">
      <c r="A58" s="97" t="s">
        <v>119</v>
      </c>
      <c r="B58" s="99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97" t="s">
        <v>120</v>
      </c>
      <c r="N58" s="105"/>
      <c r="O58" s="104"/>
      <c r="P58" s="104"/>
      <c r="Q58" s="110"/>
      <c r="R58" s="110"/>
      <c r="S58" s="110"/>
      <c r="T58" s="110"/>
      <c r="U58" s="110"/>
      <c r="V58" s="110"/>
      <c r="W58" s="110"/>
      <c r="X58" s="110"/>
      <c r="Y58" s="77"/>
    </row>
    <row r="59" s="17" customFormat="1" ht="24" spans="1:25">
      <c r="A59" s="97" t="s">
        <v>121</v>
      </c>
      <c r="B59" s="99">
        <v>1347</v>
      </c>
      <c r="C59" s="76">
        <v>1649</v>
      </c>
      <c r="D59" s="76">
        <v>1470</v>
      </c>
      <c r="E59" s="76">
        <v>1929</v>
      </c>
      <c r="F59" s="76">
        <v>1800</v>
      </c>
      <c r="G59" s="76">
        <v>1185</v>
      </c>
      <c r="H59" s="76">
        <v>1185</v>
      </c>
      <c r="I59" s="75">
        <f t="shared" si="40"/>
        <v>65.83</v>
      </c>
      <c r="J59" s="75">
        <f t="shared" si="41"/>
        <v>100</v>
      </c>
      <c r="K59" s="76">
        <f t="shared" si="42"/>
        <v>-744</v>
      </c>
      <c r="L59" s="75">
        <f t="shared" si="43"/>
        <v>-38.57</v>
      </c>
      <c r="M59" s="97" t="s">
        <v>122</v>
      </c>
      <c r="N59" s="105"/>
      <c r="O59" s="104"/>
      <c r="P59" s="104"/>
      <c r="Q59" s="110"/>
      <c r="R59" s="110"/>
      <c r="S59" s="110"/>
      <c r="T59" s="110"/>
      <c r="U59" s="110"/>
      <c r="V59" s="110"/>
      <c r="W59" s="110"/>
      <c r="X59" s="110"/>
      <c r="Y59" s="77"/>
    </row>
    <row r="60" s="17" customFormat="1" ht="24" spans="1:25">
      <c r="A60" s="97" t="s">
        <v>123</v>
      </c>
      <c r="B60" s="99">
        <v>23665</v>
      </c>
      <c r="C60" s="76">
        <v>21923</v>
      </c>
      <c r="D60" s="76">
        <v>21000</v>
      </c>
      <c r="E60" s="76">
        <v>20912</v>
      </c>
      <c r="F60" s="76">
        <v>21000</v>
      </c>
      <c r="G60" s="76">
        <v>21224</v>
      </c>
      <c r="H60" s="76">
        <v>21224</v>
      </c>
      <c r="I60" s="75">
        <f t="shared" si="40"/>
        <v>101.07</v>
      </c>
      <c r="J60" s="75">
        <f t="shared" si="41"/>
        <v>100</v>
      </c>
      <c r="K60" s="76">
        <f t="shared" si="42"/>
        <v>312</v>
      </c>
      <c r="L60" s="75">
        <f t="shared" si="43"/>
        <v>1.49</v>
      </c>
      <c r="M60" s="97" t="s">
        <v>124</v>
      </c>
      <c r="N60" s="105"/>
      <c r="O60" s="104"/>
      <c r="P60" s="104"/>
      <c r="Q60" s="110"/>
      <c r="R60" s="110"/>
      <c r="S60" s="110"/>
      <c r="T60" s="110"/>
      <c r="U60" s="110"/>
      <c r="V60" s="110"/>
      <c r="W60" s="110"/>
      <c r="X60" s="110"/>
      <c r="Y60" s="77"/>
    </row>
    <row r="61" s="17" customFormat="1" ht="24" spans="1:25">
      <c r="A61" s="97" t="s">
        <v>125</v>
      </c>
      <c r="B61" s="99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97" t="s">
        <v>126</v>
      </c>
      <c r="N61" s="105"/>
      <c r="O61" s="104"/>
      <c r="P61" s="104"/>
      <c r="Q61" s="110"/>
      <c r="R61" s="110"/>
      <c r="S61" s="110"/>
      <c r="T61" s="110"/>
      <c r="U61" s="110"/>
      <c r="V61" s="110"/>
      <c r="W61" s="110"/>
      <c r="X61" s="110"/>
      <c r="Y61" s="77"/>
    </row>
    <row r="62" s="17" customFormat="1" ht="24" spans="1:25">
      <c r="A62" s="97" t="s">
        <v>127</v>
      </c>
      <c r="B62" s="99">
        <v>561</v>
      </c>
      <c r="C62" s="76">
        <v>701</v>
      </c>
      <c r="D62" s="76">
        <v>600</v>
      </c>
      <c r="E62" s="76">
        <v>746</v>
      </c>
      <c r="F62" s="76">
        <v>700</v>
      </c>
      <c r="G62" s="76">
        <v>745</v>
      </c>
      <c r="H62" s="76">
        <v>745</v>
      </c>
      <c r="I62" s="75">
        <f t="shared" ref="I62:I65" si="44">ROUND(H62/F62*100,2)</f>
        <v>106.43</v>
      </c>
      <c r="J62" s="75">
        <f t="shared" ref="J62:J65" si="45">ROUND(H62/G62*100,2)</f>
        <v>100</v>
      </c>
      <c r="K62" s="76">
        <f t="shared" ref="K62:K65" si="46">H62-E62</f>
        <v>-1</v>
      </c>
      <c r="L62" s="75">
        <f t="shared" ref="L62:L65" si="47">ROUND(K62/E62*100,2)</f>
        <v>-0.13</v>
      </c>
      <c r="M62" s="97" t="s">
        <v>128</v>
      </c>
      <c r="N62" s="105"/>
      <c r="O62" s="104"/>
      <c r="P62" s="104"/>
      <c r="Q62" s="110"/>
      <c r="R62" s="110"/>
      <c r="S62" s="110"/>
      <c r="T62" s="110"/>
      <c r="U62" s="110"/>
      <c r="V62" s="110"/>
      <c r="W62" s="110"/>
      <c r="X62" s="110"/>
      <c r="Y62" s="77"/>
    </row>
    <row r="63" s="17" customFormat="1" ht="24" spans="1:25">
      <c r="A63" s="97" t="s">
        <v>129</v>
      </c>
      <c r="B63" s="99">
        <v>10656</v>
      </c>
      <c r="C63" s="76">
        <v>31921</v>
      </c>
      <c r="D63" s="76">
        <v>31000</v>
      </c>
      <c r="E63" s="76">
        <v>30465</v>
      </c>
      <c r="F63" s="76">
        <v>30000</v>
      </c>
      <c r="G63" s="76">
        <v>33683</v>
      </c>
      <c r="H63" s="76">
        <v>33683</v>
      </c>
      <c r="I63" s="75">
        <f t="shared" si="44"/>
        <v>112.28</v>
      </c>
      <c r="J63" s="75">
        <f t="shared" si="45"/>
        <v>100</v>
      </c>
      <c r="K63" s="76">
        <f t="shared" si="46"/>
        <v>3218</v>
      </c>
      <c r="L63" s="75">
        <f t="shared" si="47"/>
        <v>10.56</v>
      </c>
      <c r="M63" s="97" t="s">
        <v>130</v>
      </c>
      <c r="N63" s="105"/>
      <c r="O63" s="104"/>
      <c r="P63" s="104"/>
      <c r="Q63" s="110"/>
      <c r="R63" s="110"/>
      <c r="S63" s="110"/>
      <c r="T63" s="110"/>
      <c r="U63" s="110"/>
      <c r="V63" s="110"/>
      <c r="W63" s="110"/>
      <c r="X63" s="110"/>
      <c r="Y63" s="77"/>
    </row>
    <row r="64" s="17" customFormat="1" ht="24" spans="1:25">
      <c r="A64" s="97" t="s">
        <v>131</v>
      </c>
      <c r="B64" s="99">
        <v>6310</v>
      </c>
      <c r="C64" s="76">
        <v>9713</v>
      </c>
      <c r="D64" s="76">
        <v>9500</v>
      </c>
      <c r="E64" s="76">
        <v>10171</v>
      </c>
      <c r="F64" s="76">
        <v>10000</v>
      </c>
      <c r="G64" s="76">
        <v>10412</v>
      </c>
      <c r="H64" s="76">
        <v>10412</v>
      </c>
      <c r="I64" s="75">
        <f t="shared" si="44"/>
        <v>104.12</v>
      </c>
      <c r="J64" s="75">
        <f t="shared" si="45"/>
        <v>100</v>
      </c>
      <c r="K64" s="76">
        <f t="shared" si="46"/>
        <v>241</v>
      </c>
      <c r="L64" s="75">
        <f t="shared" si="47"/>
        <v>2.37</v>
      </c>
      <c r="M64" s="97" t="s">
        <v>132</v>
      </c>
      <c r="N64" s="105"/>
      <c r="O64" s="104"/>
      <c r="P64" s="104"/>
      <c r="Q64" s="110"/>
      <c r="R64" s="110"/>
      <c r="S64" s="110"/>
      <c r="T64" s="110"/>
      <c r="U64" s="110"/>
      <c r="V64" s="110"/>
      <c r="W64" s="110"/>
      <c r="X64" s="110"/>
      <c r="Y64" s="77"/>
    </row>
    <row r="65" s="17" customFormat="1" ht="24" spans="1:25">
      <c r="A65" s="97" t="s">
        <v>133</v>
      </c>
      <c r="B65" s="99">
        <v>1915</v>
      </c>
      <c r="C65" s="76">
        <v>2464</v>
      </c>
      <c r="D65" s="76">
        <v>2072</v>
      </c>
      <c r="E65" s="76">
        <v>2162</v>
      </c>
      <c r="F65" s="76">
        <v>2100</v>
      </c>
      <c r="G65" s="76">
        <v>3492</v>
      </c>
      <c r="H65" s="76">
        <v>3492</v>
      </c>
      <c r="I65" s="75">
        <f t="shared" si="44"/>
        <v>166.29</v>
      </c>
      <c r="J65" s="75">
        <f t="shared" si="45"/>
        <v>100</v>
      </c>
      <c r="K65" s="76">
        <f t="shared" si="46"/>
        <v>1330</v>
      </c>
      <c r="L65" s="75">
        <f t="shared" si="47"/>
        <v>61.52</v>
      </c>
      <c r="M65" s="97" t="s">
        <v>134</v>
      </c>
      <c r="N65" s="105"/>
      <c r="O65" s="104"/>
      <c r="P65" s="104"/>
      <c r="Q65" s="110"/>
      <c r="R65" s="110"/>
      <c r="S65" s="110"/>
      <c r="T65" s="110"/>
      <c r="U65" s="110"/>
      <c r="V65" s="110"/>
      <c r="W65" s="110"/>
      <c r="X65" s="110"/>
      <c r="Y65" s="77"/>
    </row>
    <row r="66" s="17" customFormat="1" ht="24" spans="1:25">
      <c r="A66" s="97" t="s">
        <v>135</v>
      </c>
      <c r="B66" s="99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97" t="s">
        <v>136</v>
      </c>
      <c r="N66" s="105"/>
      <c r="O66" s="104"/>
      <c r="P66" s="104"/>
      <c r="Q66" s="110"/>
      <c r="R66" s="110"/>
      <c r="S66" s="110"/>
      <c r="T66" s="110"/>
      <c r="U66" s="110"/>
      <c r="V66" s="110"/>
      <c r="W66" s="110"/>
      <c r="X66" s="110"/>
      <c r="Y66" s="77"/>
    </row>
    <row r="67" s="17" customFormat="1" ht="24" spans="1:25">
      <c r="A67" s="97" t="s">
        <v>137</v>
      </c>
      <c r="B67" s="99">
        <v>10838</v>
      </c>
      <c r="C67" s="76">
        <v>34013</v>
      </c>
      <c r="D67" s="76">
        <v>21000</v>
      </c>
      <c r="E67" s="76">
        <v>36142</v>
      </c>
      <c r="F67" s="76">
        <v>30000</v>
      </c>
      <c r="G67" s="76">
        <v>13799</v>
      </c>
      <c r="H67" s="76">
        <v>13799</v>
      </c>
      <c r="I67" s="75">
        <f>ROUND(H67/F67*100,2)</f>
        <v>46</v>
      </c>
      <c r="J67" s="75">
        <f>ROUND(H67/G67*100,2)</f>
        <v>100</v>
      </c>
      <c r="K67" s="76">
        <f>H67-E67</f>
        <v>-22343</v>
      </c>
      <c r="L67" s="75">
        <f>ROUND(K67/E67*100,2)</f>
        <v>-61.82</v>
      </c>
      <c r="M67" s="97" t="s">
        <v>138</v>
      </c>
      <c r="N67" s="105"/>
      <c r="O67" s="104"/>
      <c r="P67" s="104"/>
      <c r="Q67" s="110"/>
      <c r="R67" s="110"/>
      <c r="S67" s="110"/>
      <c r="T67" s="110"/>
      <c r="U67" s="110"/>
      <c r="V67" s="110"/>
      <c r="W67" s="110"/>
      <c r="X67" s="110"/>
      <c r="Y67" s="77"/>
    </row>
    <row r="68" s="17" customFormat="1" ht="24" spans="1:25">
      <c r="A68" s="97" t="s">
        <v>139</v>
      </c>
      <c r="B68" s="99">
        <v>1344</v>
      </c>
      <c r="C68" s="76">
        <v>5718</v>
      </c>
      <c r="D68" s="76">
        <v>1852</v>
      </c>
      <c r="E68" s="76">
        <v>-48</v>
      </c>
      <c r="F68" s="76">
        <v>418</v>
      </c>
      <c r="G68" s="76">
        <v>1830</v>
      </c>
      <c r="H68" s="76">
        <v>1830</v>
      </c>
      <c r="I68" s="75">
        <f>ROUND(H68/F68*100,2)</f>
        <v>437.8</v>
      </c>
      <c r="J68" s="75">
        <f>ROUND(H68/G68*100,2)</f>
        <v>100</v>
      </c>
      <c r="K68" s="76">
        <f>H68-E68</f>
        <v>1878</v>
      </c>
      <c r="L68" s="75">
        <f>ROUND(K68/E68*100,2)</f>
        <v>-3912.5</v>
      </c>
      <c r="M68" s="97" t="s">
        <v>140</v>
      </c>
      <c r="N68" s="105"/>
      <c r="O68" s="104"/>
      <c r="P68" s="104"/>
      <c r="Q68" s="110"/>
      <c r="R68" s="110"/>
      <c r="S68" s="110"/>
      <c r="T68" s="110"/>
      <c r="U68" s="110"/>
      <c r="V68" s="110"/>
      <c r="W68" s="110"/>
      <c r="X68" s="110"/>
      <c r="Y68" s="77"/>
    </row>
    <row r="69" s="17" customFormat="1" ht="24" spans="1:25">
      <c r="A69" s="97" t="s">
        <v>141</v>
      </c>
      <c r="B69" s="99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97" t="s">
        <v>142</v>
      </c>
      <c r="N69" s="105"/>
      <c r="O69" s="104"/>
      <c r="P69" s="104"/>
      <c r="Q69" s="110"/>
      <c r="R69" s="110"/>
      <c r="S69" s="110"/>
      <c r="T69" s="110"/>
      <c r="U69" s="110"/>
      <c r="V69" s="110"/>
      <c r="W69" s="110"/>
      <c r="X69" s="110"/>
      <c r="Y69" s="77"/>
    </row>
    <row r="70" s="17" customFormat="1" ht="24" spans="1:25">
      <c r="A70" s="97" t="s">
        <v>143</v>
      </c>
      <c r="B70" s="99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97" t="s">
        <v>144</v>
      </c>
      <c r="N70" s="105"/>
      <c r="O70" s="104"/>
      <c r="P70" s="104"/>
      <c r="Q70" s="110"/>
      <c r="R70" s="110"/>
      <c r="S70" s="110"/>
      <c r="T70" s="110"/>
      <c r="U70" s="110"/>
      <c r="V70" s="110"/>
      <c r="W70" s="110"/>
      <c r="X70" s="110"/>
      <c r="Y70" s="77"/>
    </row>
    <row r="71" s="17" customFormat="1" ht="24" spans="1:25">
      <c r="A71" s="97" t="s">
        <v>145</v>
      </c>
      <c r="B71" s="99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97" t="s">
        <v>146</v>
      </c>
      <c r="N71" s="105"/>
      <c r="O71" s="104"/>
      <c r="P71" s="104"/>
      <c r="Q71" s="110"/>
      <c r="R71" s="110"/>
      <c r="S71" s="110"/>
      <c r="T71" s="110"/>
      <c r="U71" s="110"/>
      <c r="V71" s="110"/>
      <c r="W71" s="110"/>
      <c r="X71" s="110"/>
      <c r="Y71" s="77"/>
    </row>
    <row r="72" s="17" customFormat="1" ht="24" spans="1:25">
      <c r="A72" s="97" t="s">
        <v>147</v>
      </c>
      <c r="B72" s="99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97" t="s">
        <v>148</v>
      </c>
      <c r="N72" s="105"/>
      <c r="O72" s="104"/>
      <c r="P72" s="104"/>
      <c r="Q72" s="110"/>
      <c r="R72" s="110"/>
      <c r="S72" s="110"/>
      <c r="T72" s="110"/>
      <c r="U72" s="110"/>
      <c r="V72" s="110"/>
      <c r="W72" s="110"/>
      <c r="X72" s="110"/>
      <c r="Y72" s="77"/>
    </row>
    <row r="73" s="17" customFormat="1" ht="24" spans="1:25">
      <c r="A73" s="97" t="s">
        <v>149</v>
      </c>
      <c r="B73" s="99">
        <v>1537</v>
      </c>
      <c r="C73" s="76">
        <v>1033</v>
      </c>
      <c r="D73" s="76">
        <v>1459</v>
      </c>
      <c r="E73" s="76">
        <v>2330</v>
      </c>
      <c r="F73" s="76">
        <v>692</v>
      </c>
      <c r="G73" s="76">
        <v>806</v>
      </c>
      <c r="H73" s="76">
        <v>806</v>
      </c>
      <c r="I73" s="75">
        <f>ROUND(H73/F73*100,2)</f>
        <v>116.47</v>
      </c>
      <c r="J73" s="75">
        <f>ROUND(H73/G73*100,2)</f>
        <v>100</v>
      </c>
      <c r="K73" s="76">
        <f>H73-E73</f>
        <v>-1524</v>
      </c>
      <c r="L73" s="75">
        <f>ROUND(K73/E73*100,2)</f>
        <v>-65.41</v>
      </c>
      <c r="M73" s="97" t="s">
        <v>150</v>
      </c>
      <c r="N73" s="105"/>
      <c r="O73" s="104"/>
      <c r="P73" s="104"/>
      <c r="Q73" s="110"/>
      <c r="R73" s="110"/>
      <c r="S73" s="110"/>
      <c r="T73" s="110"/>
      <c r="U73" s="110"/>
      <c r="V73" s="110"/>
      <c r="W73" s="110"/>
      <c r="X73" s="110"/>
      <c r="Y73" s="77"/>
    </row>
    <row r="74" s="17" customFormat="1" ht="24" spans="1:25">
      <c r="A74" s="97" t="s">
        <v>151</v>
      </c>
      <c r="B74" s="99">
        <v>90</v>
      </c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97" t="s">
        <v>152</v>
      </c>
      <c r="N74" s="105"/>
      <c r="O74" s="104"/>
      <c r="P74" s="104"/>
      <c r="Q74" s="110"/>
      <c r="R74" s="110"/>
      <c r="S74" s="110"/>
      <c r="T74" s="110"/>
      <c r="U74" s="110"/>
      <c r="V74" s="110"/>
      <c r="W74" s="110"/>
      <c r="X74" s="110"/>
      <c r="Y74" s="77"/>
    </row>
    <row r="75" s="17" customFormat="1" ht="24" spans="1:25">
      <c r="A75" s="97" t="s">
        <v>153</v>
      </c>
      <c r="B75" s="76"/>
      <c r="C75" s="76">
        <v>1536</v>
      </c>
      <c r="D75" s="76"/>
      <c r="E75" s="76">
        <v>174</v>
      </c>
      <c r="F75" s="76"/>
      <c r="G75" s="76">
        <v>385</v>
      </c>
      <c r="H75" s="76">
        <v>385</v>
      </c>
      <c r="I75" s="75"/>
      <c r="J75" s="75">
        <f>ROUND(H75/G75*100,2)</f>
        <v>100</v>
      </c>
      <c r="K75" s="76">
        <f>H75-E75</f>
        <v>211</v>
      </c>
      <c r="L75" s="75">
        <f>ROUND(K75/E75*100,2)</f>
        <v>121.26</v>
      </c>
      <c r="M75" s="97" t="s">
        <v>154</v>
      </c>
      <c r="N75" s="108"/>
      <c r="O75" s="104"/>
      <c r="P75" s="104"/>
      <c r="Q75" s="110"/>
      <c r="R75" s="110"/>
      <c r="S75" s="110"/>
      <c r="T75" s="110"/>
      <c r="U75" s="110"/>
      <c r="V75" s="110"/>
      <c r="W75" s="110"/>
      <c r="X75" s="110"/>
      <c r="Y75" s="77"/>
    </row>
    <row r="76" s="17" customFormat="1" ht="24" spans="1:25">
      <c r="A76" s="97" t="s">
        <v>155</v>
      </c>
      <c r="B76" s="99"/>
      <c r="C76" s="76"/>
      <c r="D76" s="76"/>
      <c r="E76" s="76"/>
      <c r="F76" s="76"/>
      <c r="G76" s="76"/>
      <c r="H76" s="76"/>
      <c r="I76" s="75"/>
      <c r="J76" s="75"/>
      <c r="K76" s="75"/>
      <c r="L76" s="75"/>
      <c r="M76" s="97" t="s">
        <v>156</v>
      </c>
      <c r="N76" s="105"/>
      <c r="O76" s="105"/>
      <c r="P76" s="104"/>
      <c r="Q76" s="110"/>
      <c r="R76" s="110"/>
      <c r="S76" s="110"/>
      <c r="T76" s="110"/>
      <c r="U76" s="110"/>
      <c r="V76" s="110"/>
      <c r="W76" s="110"/>
      <c r="X76" s="110"/>
      <c r="Y76" s="77"/>
    </row>
    <row r="77" s="17" customFormat="1" ht="24" spans="1:25">
      <c r="A77" s="97" t="s">
        <v>157</v>
      </c>
      <c r="B77" s="111"/>
      <c r="C77" s="76">
        <v>329</v>
      </c>
      <c r="D77" s="76">
        <v>329</v>
      </c>
      <c r="E77" s="76">
        <v>-139</v>
      </c>
      <c r="F77" s="76"/>
      <c r="G77" s="76"/>
      <c r="H77" s="76"/>
      <c r="I77" s="75"/>
      <c r="J77" s="75"/>
      <c r="K77" s="75"/>
      <c r="L77" s="75"/>
      <c r="M77" s="97" t="s">
        <v>158</v>
      </c>
      <c r="N77" s="121"/>
      <c r="O77" s="121"/>
      <c r="P77" s="121"/>
      <c r="Q77" s="110"/>
      <c r="R77" s="110"/>
      <c r="S77" s="110"/>
      <c r="T77" s="110"/>
      <c r="U77" s="110"/>
      <c r="V77" s="110"/>
      <c r="W77" s="110"/>
      <c r="X77" s="110"/>
      <c r="Y77" s="77"/>
    </row>
    <row r="78" s="17" customFormat="1" ht="24" spans="1:25">
      <c r="A78" s="97" t="s">
        <v>159</v>
      </c>
      <c r="B78" s="110"/>
      <c r="C78" s="76">
        <v>995</v>
      </c>
      <c r="D78" s="76">
        <v>995</v>
      </c>
      <c r="E78" s="76">
        <v>204</v>
      </c>
      <c r="F78" s="76"/>
      <c r="G78" s="76"/>
      <c r="H78" s="76"/>
      <c r="I78" s="75"/>
      <c r="J78" s="75"/>
      <c r="K78" s="75"/>
      <c r="L78" s="75"/>
      <c r="M78" s="97" t="s">
        <v>160</v>
      </c>
      <c r="N78" s="122"/>
      <c r="O78" s="122"/>
      <c r="P78" s="122"/>
      <c r="Q78" s="110"/>
      <c r="R78" s="110"/>
      <c r="S78" s="110"/>
      <c r="T78" s="110"/>
      <c r="U78" s="110"/>
      <c r="V78" s="110"/>
      <c r="W78" s="110"/>
      <c r="X78" s="110"/>
      <c r="Y78" s="77"/>
    </row>
    <row r="79" s="17" customFormat="1" ht="24" spans="1:25">
      <c r="A79" s="97" t="s">
        <v>161</v>
      </c>
      <c r="B79" s="110"/>
      <c r="C79" s="76">
        <v>10954</v>
      </c>
      <c r="D79" s="76">
        <v>10954</v>
      </c>
      <c r="E79" s="76">
        <v>1181</v>
      </c>
      <c r="F79" s="76"/>
      <c r="G79" s="76"/>
      <c r="H79" s="76"/>
      <c r="I79" s="75"/>
      <c r="J79" s="75"/>
      <c r="K79" s="75"/>
      <c r="L79" s="75"/>
      <c r="M79" s="97" t="s">
        <v>162</v>
      </c>
      <c r="N79" s="122"/>
      <c r="O79" s="122"/>
      <c r="P79" s="122"/>
      <c r="Q79" s="110"/>
      <c r="R79" s="110"/>
      <c r="S79" s="110"/>
      <c r="T79" s="110"/>
      <c r="U79" s="110"/>
      <c r="V79" s="110"/>
      <c r="W79" s="110"/>
      <c r="X79" s="110"/>
      <c r="Y79" s="77"/>
    </row>
    <row r="80" s="17" customFormat="1" spans="1:25">
      <c r="A80" s="97" t="s">
        <v>163</v>
      </c>
      <c r="B80" s="99">
        <v>121</v>
      </c>
      <c r="C80" s="76">
        <v>1239</v>
      </c>
      <c r="D80" s="76">
        <v>1000</v>
      </c>
      <c r="E80" s="76">
        <v>1340</v>
      </c>
      <c r="F80" s="76">
        <v>618</v>
      </c>
      <c r="G80" s="76">
        <v>2358</v>
      </c>
      <c r="H80" s="76">
        <v>2358</v>
      </c>
      <c r="I80" s="75">
        <f t="shared" ref="I80:I82" si="48">ROUND(H80/F80*100,2)</f>
        <v>381.55</v>
      </c>
      <c r="J80" s="75">
        <f t="shared" ref="J80:J82" si="49">ROUND(H80/G80*100,2)</f>
        <v>100</v>
      </c>
      <c r="K80" s="76">
        <f t="shared" ref="K80:K82" si="50">H80-E80</f>
        <v>1018</v>
      </c>
      <c r="L80" s="75">
        <f t="shared" ref="L80:L82" si="51">ROUND(K80/E80*100,2)</f>
        <v>75.97</v>
      </c>
      <c r="M80" s="97" t="s">
        <v>164</v>
      </c>
      <c r="N80" s="122"/>
      <c r="O80" s="122"/>
      <c r="P80" s="122"/>
      <c r="Q80" s="110"/>
      <c r="R80" s="110"/>
      <c r="S80" s="110"/>
      <c r="T80" s="110"/>
      <c r="U80" s="110"/>
      <c r="V80" s="110"/>
      <c r="W80" s="110"/>
      <c r="X80" s="110"/>
      <c r="Y80" s="77"/>
    </row>
    <row r="81" s="17" customFormat="1" spans="1:25">
      <c r="A81" s="101" t="s">
        <v>165</v>
      </c>
      <c r="B81" s="76">
        <v>25660</v>
      </c>
      <c r="C81" s="76">
        <f t="shared" ref="C81:H81" si="52">SUM(C82:C101)</f>
        <v>46455</v>
      </c>
      <c r="D81" s="76">
        <f t="shared" si="52"/>
        <v>27452</v>
      </c>
      <c r="E81" s="76">
        <f t="shared" si="52"/>
        <v>32059</v>
      </c>
      <c r="F81" s="76">
        <f t="shared" si="52"/>
        <v>14976</v>
      </c>
      <c r="G81" s="76">
        <f t="shared" si="52"/>
        <v>25322</v>
      </c>
      <c r="H81" s="76">
        <f t="shared" si="52"/>
        <v>25322</v>
      </c>
      <c r="I81" s="75">
        <f t="shared" si="48"/>
        <v>169.08</v>
      </c>
      <c r="J81" s="75">
        <f t="shared" si="49"/>
        <v>100</v>
      </c>
      <c r="K81" s="76">
        <f t="shared" si="50"/>
        <v>-6737</v>
      </c>
      <c r="L81" s="75">
        <f t="shared" si="51"/>
        <v>-21.01</v>
      </c>
      <c r="M81" s="101" t="s">
        <v>166</v>
      </c>
      <c r="N81" s="35">
        <f t="shared" ref="N81:T81" si="53">SUM(N82:N101)</f>
        <v>0</v>
      </c>
      <c r="O81" s="35">
        <f t="shared" si="53"/>
        <v>0</v>
      </c>
      <c r="P81" s="35">
        <f t="shared" si="53"/>
        <v>0</v>
      </c>
      <c r="Q81" s="35">
        <f t="shared" si="53"/>
        <v>0</v>
      </c>
      <c r="R81" s="35">
        <f t="shared" si="53"/>
        <v>0</v>
      </c>
      <c r="S81" s="35">
        <f t="shared" si="53"/>
        <v>0</v>
      </c>
      <c r="T81" s="35">
        <f t="shared" si="53"/>
        <v>0</v>
      </c>
      <c r="U81" s="35"/>
      <c r="V81" s="35"/>
      <c r="W81" s="35">
        <f>SUM(W82:W101)</f>
        <v>0</v>
      </c>
      <c r="X81" s="35"/>
      <c r="Y81" s="77"/>
    </row>
    <row r="82" s="17" customFormat="1" spans="1:25">
      <c r="A82" s="97" t="s">
        <v>167</v>
      </c>
      <c r="B82" s="110"/>
      <c r="C82" s="76">
        <v>1144</v>
      </c>
      <c r="D82" s="76">
        <v>79</v>
      </c>
      <c r="E82" s="76">
        <v>209</v>
      </c>
      <c r="F82" s="76">
        <v>115</v>
      </c>
      <c r="G82" s="76">
        <v>580</v>
      </c>
      <c r="H82" s="76">
        <v>580</v>
      </c>
      <c r="I82" s="75">
        <f t="shared" si="48"/>
        <v>504.35</v>
      </c>
      <c r="J82" s="75">
        <f t="shared" si="49"/>
        <v>100</v>
      </c>
      <c r="K82" s="76">
        <f t="shared" si="50"/>
        <v>371</v>
      </c>
      <c r="L82" s="75">
        <f t="shared" si="51"/>
        <v>177.51</v>
      </c>
      <c r="M82" s="97" t="s">
        <v>167</v>
      </c>
      <c r="N82" s="122"/>
      <c r="O82" s="122"/>
      <c r="P82" s="122"/>
      <c r="Q82" s="110"/>
      <c r="R82" s="110"/>
      <c r="S82" s="110"/>
      <c r="T82" s="110"/>
      <c r="U82" s="110"/>
      <c r="V82" s="110"/>
      <c r="W82" s="110"/>
      <c r="X82" s="110"/>
      <c r="Y82" s="77"/>
    </row>
    <row r="83" s="17" customFormat="1" spans="1:25">
      <c r="A83" s="97" t="s">
        <v>168</v>
      </c>
      <c r="B83" s="110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97" t="s">
        <v>168</v>
      </c>
      <c r="N83" s="122"/>
      <c r="O83" s="122"/>
      <c r="P83" s="122"/>
      <c r="Q83" s="110"/>
      <c r="R83" s="110"/>
      <c r="S83" s="110"/>
      <c r="T83" s="110"/>
      <c r="U83" s="110"/>
      <c r="V83" s="110"/>
      <c r="W83" s="110"/>
      <c r="X83" s="110"/>
      <c r="Y83" s="77"/>
    </row>
    <row r="84" s="17" customFormat="1" spans="1:25">
      <c r="A84" s="97" t="s">
        <v>169</v>
      </c>
      <c r="B84" s="110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97" t="s">
        <v>169</v>
      </c>
      <c r="N84" s="122"/>
      <c r="O84" s="122"/>
      <c r="P84" s="122"/>
      <c r="Q84" s="110"/>
      <c r="R84" s="110"/>
      <c r="S84" s="110"/>
      <c r="T84" s="110"/>
      <c r="U84" s="110"/>
      <c r="V84" s="110"/>
      <c r="W84" s="110"/>
      <c r="X84" s="110"/>
      <c r="Y84" s="77"/>
    </row>
    <row r="85" s="17" customFormat="1" spans="1:25">
      <c r="A85" s="97" t="s">
        <v>170</v>
      </c>
      <c r="B85" s="110"/>
      <c r="C85" s="76">
        <v>2521</v>
      </c>
      <c r="D85" s="76">
        <v>350</v>
      </c>
      <c r="E85" s="76">
        <v>1029</v>
      </c>
      <c r="F85" s="76"/>
      <c r="G85" s="76"/>
      <c r="H85" s="76"/>
      <c r="I85" s="75"/>
      <c r="J85" s="75"/>
      <c r="K85" s="75"/>
      <c r="L85" s="75"/>
      <c r="M85" s="97" t="s">
        <v>170</v>
      </c>
      <c r="N85" s="122"/>
      <c r="O85" s="122"/>
      <c r="P85" s="122"/>
      <c r="Q85" s="110"/>
      <c r="R85" s="110"/>
      <c r="S85" s="110"/>
      <c r="T85" s="110"/>
      <c r="U85" s="110"/>
      <c r="V85" s="110"/>
      <c r="W85" s="110"/>
      <c r="X85" s="110"/>
      <c r="Y85" s="77"/>
    </row>
    <row r="86" s="17" customFormat="1" spans="1:25">
      <c r="A86" s="97" t="s">
        <v>171</v>
      </c>
      <c r="B86" s="110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97" t="s">
        <v>171</v>
      </c>
      <c r="N86" s="122"/>
      <c r="O86" s="122"/>
      <c r="P86" s="122"/>
      <c r="Q86" s="110"/>
      <c r="R86" s="110"/>
      <c r="S86" s="110"/>
      <c r="T86" s="110"/>
      <c r="U86" s="110"/>
      <c r="V86" s="110"/>
      <c r="W86" s="110"/>
      <c r="X86" s="110"/>
      <c r="Y86" s="77"/>
    </row>
    <row r="87" s="17" customFormat="1" spans="1:25">
      <c r="A87" s="97" t="s">
        <v>172</v>
      </c>
      <c r="B87" s="110"/>
      <c r="C87" s="76">
        <v>970</v>
      </c>
      <c r="D87" s="76">
        <v>500</v>
      </c>
      <c r="E87" s="76">
        <v>1800</v>
      </c>
      <c r="F87" s="76"/>
      <c r="G87" s="76"/>
      <c r="H87" s="76"/>
      <c r="I87" s="75"/>
      <c r="J87" s="75"/>
      <c r="K87" s="75"/>
      <c r="L87" s="75"/>
      <c r="M87" s="97" t="s">
        <v>172</v>
      </c>
      <c r="N87" s="122"/>
      <c r="O87" s="122"/>
      <c r="P87" s="122"/>
      <c r="Q87" s="110"/>
      <c r="R87" s="110"/>
      <c r="S87" s="110"/>
      <c r="T87" s="110"/>
      <c r="U87" s="110"/>
      <c r="V87" s="110"/>
      <c r="W87" s="110"/>
      <c r="X87" s="110"/>
      <c r="Y87" s="77"/>
    </row>
    <row r="88" s="17" customFormat="1" spans="1:25">
      <c r="A88" s="97" t="s">
        <v>173</v>
      </c>
      <c r="B88" s="110"/>
      <c r="C88" s="76">
        <v>717</v>
      </c>
      <c r="D88" s="76">
        <v>850</v>
      </c>
      <c r="E88" s="76">
        <v>358</v>
      </c>
      <c r="F88" s="76">
        <v>199</v>
      </c>
      <c r="G88" s="76">
        <v>66</v>
      </c>
      <c r="H88" s="76">
        <v>66</v>
      </c>
      <c r="I88" s="75">
        <f t="shared" ref="I88:I100" si="54">ROUND(H88/F88*100,2)</f>
        <v>33.17</v>
      </c>
      <c r="J88" s="75">
        <f t="shared" ref="J88:J100" si="55">ROUND(H88/G88*100,2)</f>
        <v>100</v>
      </c>
      <c r="K88" s="76">
        <f t="shared" ref="K88:K100" si="56">H88-E88</f>
        <v>-292</v>
      </c>
      <c r="L88" s="75">
        <f t="shared" ref="L88:L100" si="57">ROUND(K88/E88*100,2)</f>
        <v>-81.56</v>
      </c>
      <c r="M88" s="97" t="s">
        <v>173</v>
      </c>
      <c r="N88" s="122"/>
      <c r="O88" s="122"/>
      <c r="P88" s="122"/>
      <c r="Q88" s="110"/>
      <c r="R88" s="110"/>
      <c r="S88" s="110"/>
      <c r="T88" s="110"/>
      <c r="U88" s="110"/>
      <c r="V88" s="110"/>
      <c r="W88" s="110"/>
      <c r="X88" s="110"/>
      <c r="Y88" s="77"/>
    </row>
    <row r="89" s="17" customFormat="1" spans="1:25">
      <c r="A89" s="97" t="s">
        <v>174</v>
      </c>
      <c r="B89" s="110"/>
      <c r="C89" s="76">
        <v>5360</v>
      </c>
      <c r="D89" s="76">
        <v>700</v>
      </c>
      <c r="E89" s="76">
        <v>412</v>
      </c>
      <c r="F89" s="76">
        <v>340</v>
      </c>
      <c r="G89" s="76">
        <v>423</v>
      </c>
      <c r="H89" s="76">
        <v>423</v>
      </c>
      <c r="I89" s="75">
        <f t="shared" si="54"/>
        <v>124.41</v>
      </c>
      <c r="J89" s="75">
        <f t="shared" si="55"/>
        <v>100</v>
      </c>
      <c r="K89" s="76">
        <f t="shared" si="56"/>
        <v>11</v>
      </c>
      <c r="L89" s="75">
        <f t="shared" si="57"/>
        <v>2.67</v>
      </c>
      <c r="M89" s="97" t="s">
        <v>174</v>
      </c>
      <c r="N89" s="122"/>
      <c r="O89" s="122"/>
      <c r="P89" s="122"/>
      <c r="Q89" s="110"/>
      <c r="R89" s="110"/>
      <c r="S89" s="110"/>
      <c r="T89" s="110"/>
      <c r="U89" s="110"/>
      <c r="V89" s="110"/>
      <c r="W89" s="110"/>
      <c r="X89" s="110"/>
      <c r="Y89" s="77"/>
    </row>
    <row r="90" s="17" customFormat="1" spans="1:25">
      <c r="A90" s="97" t="s">
        <v>175</v>
      </c>
      <c r="B90" s="110"/>
      <c r="C90" s="76">
        <v>1362</v>
      </c>
      <c r="D90" s="76">
        <v>220</v>
      </c>
      <c r="E90" s="76">
        <v>1980</v>
      </c>
      <c r="F90" s="76">
        <v>380</v>
      </c>
      <c r="G90" s="76">
        <v>1875</v>
      </c>
      <c r="H90" s="76">
        <v>1875</v>
      </c>
      <c r="I90" s="75">
        <f t="shared" si="54"/>
        <v>493.42</v>
      </c>
      <c r="J90" s="75">
        <f t="shared" si="55"/>
        <v>100</v>
      </c>
      <c r="K90" s="76">
        <f t="shared" si="56"/>
        <v>-105</v>
      </c>
      <c r="L90" s="75">
        <f t="shared" si="57"/>
        <v>-5.3</v>
      </c>
      <c r="M90" s="97" t="s">
        <v>175</v>
      </c>
      <c r="N90" s="122"/>
      <c r="O90" s="122"/>
      <c r="P90" s="122"/>
      <c r="Q90" s="110"/>
      <c r="R90" s="110"/>
      <c r="S90" s="110"/>
      <c r="T90" s="110"/>
      <c r="U90" s="110"/>
      <c r="V90" s="110"/>
      <c r="W90" s="110"/>
      <c r="X90" s="110"/>
      <c r="Y90" s="77"/>
    </row>
    <row r="91" s="17" customFormat="1" spans="1:25">
      <c r="A91" s="97" t="s">
        <v>176</v>
      </c>
      <c r="B91" s="110"/>
      <c r="C91" s="76">
        <v>1688</v>
      </c>
      <c r="D91" s="76">
        <v>2000</v>
      </c>
      <c r="E91" s="76">
        <v>1955</v>
      </c>
      <c r="F91" s="76"/>
      <c r="G91" s="76">
        <v>90</v>
      </c>
      <c r="H91" s="76">
        <v>90</v>
      </c>
      <c r="I91" s="75"/>
      <c r="J91" s="75">
        <f t="shared" si="55"/>
        <v>100</v>
      </c>
      <c r="K91" s="76">
        <f t="shared" si="56"/>
        <v>-1865</v>
      </c>
      <c r="L91" s="75">
        <f t="shared" si="57"/>
        <v>-95.4</v>
      </c>
      <c r="M91" s="97" t="s">
        <v>176</v>
      </c>
      <c r="N91" s="122"/>
      <c r="O91" s="122"/>
      <c r="P91" s="122"/>
      <c r="Q91" s="110"/>
      <c r="R91" s="110"/>
      <c r="S91" s="110"/>
      <c r="T91" s="110"/>
      <c r="U91" s="110"/>
      <c r="V91" s="110"/>
      <c r="W91" s="110"/>
      <c r="X91" s="110"/>
      <c r="Y91" s="77"/>
    </row>
    <row r="92" s="17" customFormat="1" spans="1:25">
      <c r="A92" s="97" t="s">
        <v>177</v>
      </c>
      <c r="B92" s="110"/>
      <c r="C92" s="76">
        <v>21878</v>
      </c>
      <c r="D92" s="76">
        <v>17712</v>
      </c>
      <c r="E92" s="76">
        <v>15499</v>
      </c>
      <c r="F92" s="76">
        <v>12159</v>
      </c>
      <c r="G92" s="76">
        <v>15282</v>
      </c>
      <c r="H92" s="76">
        <v>15282</v>
      </c>
      <c r="I92" s="75">
        <f t="shared" si="54"/>
        <v>125.68</v>
      </c>
      <c r="J92" s="75">
        <f t="shared" si="55"/>
        <v>100</v>
      </c>
      <c r="K92" s="76">
        <f t="shared" si="56"/>
        <v>-217</v>
      </c>
      <c r="L92" s="75">
        <f t="shared" si="57"/>
        <v>-1.4</v>
      </c>
      <c r="M92" s="97" t="s">
        <v>177</v>
      </c>
      <c r="N92" s="122"/>
      <c r="O92" s="122"/>
      <c r="P92" s="122"/>
      <c r="Q92" s="110"/>
      <c r="R92" s="110"/>
      <c r="S92" s="110"/>
      <c r="T92" s="110"/>
      <c r="U92" s="110"/>
      <c r="V92" s="110"/>
      <c r="W92" s="110"/>
      <c r="X92" s="110"/>
      <c r="Y92" s="77"/>
    </row>
    <row r="93" s="17" customFormat="1" spans="1:25">
      <c r="A93" s="97" t="s">
        <v>178</v>
      </c>
      <c r="B93" s="110"/>
      <c r="C93" s="76">
        <v>2261</v>
      </c>
      <c r="D93" s="76">
        <v>500</v>
      </c>
      <c r="E93" s="76">
        <v>338</v>
      </c>
      <c r="F93" s="76">
        <v>274</v>
      </c>
      <c r="G93" s="76">
        <v>624</v>
      </c>
      <c r="H93" s="76">
        <v>624</v>
      </c>
      <c r="I93" s="75">
        <f t="shared" si="54"/>
        <v>227.74</v>
      </c>
      <c r="J93" s="75">
        <f t="shared" si="55"/>
        <v>100</v>
      </c>
      <c r="K93" s="76">
        <f t="shared" si="56"/>
        <v>286</v>
      </c>
      <c r="L93" s="75">
        <f t="shared" si="57"/>
        <v>84.62</v>
      </c>
      <c r="M93" s="97" t="s">
        <v>178</v>
      </c>
      <c r="N93" s="122"/>
      <c r="O93" s="122"/>
      <c r="P93" s="122"/>
      <c r="Q93" s="110"/>
      <c r="R93" s="110"/>
      <c r="S93" s="110"/>
      <c r="T93" s="110"/>
      <c r="U93" s="110"/>
      <c r="V93" s="110"/>
      <c r="W93" s="110"/>
      <c r="X93" s="110"/>
      <c r="Y93" s="77"/>
    </row>
    <row r="94" s="17" customFormat="1" spans="1:25">
      <c r="A94" s="97" t="s">
        <v>179</v>
      </c>
      <c r="B94" s="110"/>
      <c r="C94" s="76">
        <v>1959</v>
      </c>
      <c r="D94" s="76">
        <v>500</v>
      </c>
      <c r="E94" s="76">
        <v>326</v>
      </c>
      <c r="F94" s="76"/>
      <c r="G94" s="76">
        <v>788</v>
      </c>
      <c r="H94" s="76">
        <v>788</v>
      </c>
      <c r="I94" s="75"/>
      <c r="J94" s="75">
        <f t="shared" si="55"/>
        <v>100</v>
      </c>
      <c r="K94" s="76">
        <f t="shared" si="56"/>
        <v>462</v>
      </c>
      <c r="L94" s="75">
        <f t="shared" si="57"/>
        <v>141.72</v>
      </c>
      <c r="M94" s="97" t="s">
        <v>179</v>
      </c>
      <c r="N94" s="122"/>
      <c r="O94" s="122"/>
      <c r="P94" s="122"/>
      <c r="Q94" s="110"/>
      <c r="R94" s="110"/>
      <c r="S94" s="110"/>
      <c r="T94" s="110"/>
      <c r="U94" s="110"/>
      <c r="V94" s="110"/>
      <c r="W94" s="110"/>
      <c r="X94" s="110"/>
      <c r="Y94" s="77"/>
    </row>
    <row r="95" s="17" customFormat="1" spans="1:25">
      <c r="A95" s="97" t="s">
        <v>180</v>
      </c>
      <c r="B95" s="110"/>
      <c r="C95" s="76">
        <v>660</v>
      </c>
      <c r="D95" s="76">
        <v>600</v>
      </c>
      <c r="E95" s="76">
        <v>730</v>
      </c>
      <c r="F95" s="76"/>
      <c r="G95" s="76">
        <v>30</v>
      </c>
      <c r="H95" s="76">
        <v>30</v>
      </c>
      <c r="I95" s="75"/>
      <c r="J95" s="75">
        <f t="shared" si="55"/>
        <v>100</v>
      </c>
      <c r="K95" s="76">
        <f t="shared" si="56"/>
        <v>-700</v>
      </c>
      <c r="L95" s="75">
        <f t="shared" si="57"/>
        <v>-95.89</v>
      </c>
      <c r="M95" s="97" t="s">
        <v>180</v>
      </c>
      <c r="N95" s="122"/>
      <c r="O95" s="122"/>
      <c r="P95" s="122"/>
      <c r="Q95" s="110"/>
      <c r="R95" s="110"/>
      <c r="S95" s="110"/>
      <c r="T95" s="110"/>
      <c r="U95" s="110"/>
      <c r="V95" s="110"/>
      <c r="W95" s="110"/>
      <c r="X95" s="110"/>
      <c r="Y95" s="77"/>
    </row>
    <row r="96" s="17" customFormat="1" spans="1:25">
      <c r="A96" s="97" t="s">
        <v>181</v>
      </c>
      <c r="B96" s="110"/>
      <c r="C96" s="76">
        <v>1309</v>
      </c>
      <c r="D96" s="76">
        <v>700</v>
      </c>
      <c r="E96" s="76">
        <v>1264</v>
      </c>
      <c r="F96" s="76"/>
      <c r="G96" s="76">
        <v>219</v>
      </c>
      <c r="H96" s="76">
        <v>219</v>
      </c>
      <c r="I96" s="75"/>
      <c r="J96" s="75">
        <f t="shared" si="55"/>
        <v>100</v>
      </c>
      <c r="K96" s="76">
        <f t="shared" si="56"/>
        <v>-1045</v>
      </c>
      <c r="L96" s="75">
        <f t="shared" si="57"/>
        <v>-82.67</v>
      </c>
      <c r="M96" s="97" t="s">
        <v>181</v>
      </c>
      <c r="N96" s="122"/>
      <c r="O96" s="122"/>
      <c r="P96" s="122"/>
      <c r="Q96" s="110"/>
      <c r="R96" s="110"/>
      <c r="S96" s="110"/>
      <c r="T96" s="110"/>
      <c r="U96" s="110"/>
      <c r="V96" s="110"/>
      <c r="W96" s="110"/>
      <c r="X96" s="110"/>
      <c r="Y96" s="77"/>
    </row>
    <row r="97" s="17" customFormat="1" spans="1:25">
      <c r="A97" s="97" t="s">
        <v>182</v>
      </c>
      <c r="B97" s="110"/>
      <c r="C97" s="76">
        <v>83</v>
      </c>
      <c r="D97" s="76">
        <v>742</v>
      </c>
      <c r="E97" s="76">
        <v>1615</v>
      </c>
      <c r="F97" s="76">
        <v>1224</v>
      </c>
      <c r="G97" s="76">
        <v>1579</v>
      </c>
      <c r="H97" s="76">
        <v>1579</v>
      </c>
      <c r="I97" s="75">
        <f t="shared" si="54"/>
        <v>129</v>
      </c>
      <c r="J97" s="75">
        <f t="shared" si="55"/>
        <v>100</v>
      </c>
      <c r="K97" s="76">
        <f t="shared" si="56"/>
        <v>-36</v>
      </c>
      <c r="L97" s="75">
        <f t="shared" si="57"/>
        <v>-2.23</v>
      </c>
      <c r="M97" s="97" t="s">
        <v>182</v>
      </c>
      <c r="N97" s="122"/>
      <c r="O97" s="122"/>
      <c r="P97" s="122"/>
      <c r="Q97" s="110"/>
      <c r="R97" s="110"/>
      <c r="S97" s="110"/>
      <c r="T97" s="110"/>
      <c r="U97" s="110"/>
      <c r="V97" s="110"/>
      <c r="W97" s="110"/>
      <c r="X97" s="110"/>
      <c r="Y97" s="77"/>
    </row>
    <row r="98" s="17" customFormat="1" spans="1:25">
      <c r="A98" s="97" t="s">
        <v>183</v>
      </c>
      <c r="B98" s="110"/>
      <c r="C98" s="76">
        <v>3248</v>
      </c>
      <c r="D98" s="76"/>
      <c r="E98" s="76">
        <v>1549</v>
      </c>
      <c r="F98" s="76"/>
      <c r="G98" s="76">
        <v>2388</v>
      </c>
      <c r="H98" s="76">
        <v>2388</v>
      </c>
      <c r="I98" s="75"/>
      <c r="J98" s="75">
        <f t="shared" si="55"/>
        <v>100</v>
      </c>
      <c r="K98" s="76">
        <f t="shared" si="56"/>
        <v>839</v>
      </c>
      <c r="L98" s="75">
        <f t="shared" si="57"/>
        <v>54.16</v>
      </c>
      <c r="M98" s="97" t="s">
        <v>183</v>
      </c>
      <c r="N98" s="122"/>
      <c r="O98" s="122"/>
      <c r="P98" s="122"/>
      <c r="Q98" s="110"/>
      <c r="R98" s="110"/>
      <c r="S98" s="110"/>
      <c r="T98" s="110"/>
      <c r="U98" s="110"/>
      <c r="V98" s="110"/>
      <c r="W98" s="110"/>
      <c r="X98" s="110"/>
      <c r="Y98" s="77"/>
    </row>
    <row r="99" s="17" customFormat="1" spans="1:25">
      <c r="A99" s="97" t="s">
        <v>184</v>
      </c>
      <c r="B99" s="110"/>
      <c r="C99" s="76">
        <v>340</v>
      </c>
      <c r="D99" s="76">
        <v>252</v>
      </c>
      <c r="E99" s="76">
        <v>2</v>
      </c>
      <c r="F99" s="76">
        <v>102</v>
      </c>
      <c r="G99" s="76">
        <v>2</v>
      </c>
      <c r="H99" s="76">
        <v>2</v>
      </c>
      <c r="I99" s="75">
        <f t="shared" si="54"/>
        <v>1.96</v>
      </c>
      <c r="J99" s="75">
        <f t="shared" si="55"/>
        <v>100</v>
      </c>
      <c r="K99" s="35">
        <f t="shared" si="56"/>
        <v>0</v>
      </c>
      <c r="L99" s="35">
        <f t="shared" si="57"/>
        <v>0</v>
      </c>
      <c r="M99" s="97" t="s">
        <v>184</v>
      </c>
      <c r="N99" s="122"/>
      <c r="O99" s="122"/>
      <c r="P99" s="122"/>
      <c r="Q99" s="110"/>
      <c r="R99" s="110"/>
      <c r="S99" s="110"/>
      <c r="T99" s="110"/>
      <c r="U99" s="110"/>
      <c r="V99" s="110"/>
      <c r="W99" s="110"/>
      <c r="X99" s="110"/>
      <c r="Y99" s="77"/>
    </row>
    <row r="100" s="17" customFormat="1" spans="1:25">
      <c r="A100" s="97" t="s">
        <v>185</v>
      </c>
      <c r="B100" s="110"/>
      <c r="C100" s="76">
        <v>835</v>
      </c>
      <c r="D100" s="76">
        <v>1627</v>
      </c>
      <c r="E100" s="76">
        <v>3113</v>
      </c>
      <c r="F100" s="76">
        <v>183</v>
      </c>
      <c r="G100" s="76">
        <v>1376</v>
      </c>
      <c r="H100" s="76">
        <v>1376</v>
      </c>
      <c r="I100" s="75">
        <f t="shared" si="54"/>
        <v>751.91</v>
      </c>
      <c r="J100" s="75">
        <f t="shared" si="55"/>
        <v>100</v>
      </c>
      <c r="K100" s="76">
        <f t="shared" si="56"/>
        <v>-1737</v>
      </c>
      <c r="L100" s="75">
        <f t="shared" si="57"/>
        <v>-55.8</v>
      </c>
      <c r="M100" s="97" t="s">
        <v>185</v>
      </c>
      <c r="N100" s="122"/>
      <c r="O100" s="122"/>
      <c r="P100" s="122"/>
      <c r="Q100" s="110"/>
      <c r="R100" s="110"/>
      <c r="S100" s="110"/>
      <c r="T100" s="110"/>
      <c r="U100" s="110"/>
      <c r="V100" s="110"/>
      <c r="W100" s="110"/>
      <c r="X100" s="110"/>
      <c r="Y100" s="77"/>
    </row>
    <row r="101" s="17" customFormat="1" spans="1:25">
      <c r="A101" s="97" t="s">
        <v>186</v>
      </c>
      <c r="B101" s="110"/>
      <c r="C101" s="76">
        <v>120</v>
      </c>
      <c r="D101" s="76">
        <v>120</v>
      </c>
      <c r="E101" s="76">
        <v>-120</v>
      </c>
      <c r="F101" s="76"/>
      <c r="G101" s="76"/>
      <c r="H101" s="76"/>
      <c r="I101" s="75"/>
      <c r="J101" s="75"/>
      <c r="K101" s="75"/>
      <c r="L101" s="75"/>
      <c r="M101" s="97" t="s">
        <v>186</v>
      </c>
      <c r="N101" s="122"/>
      <c r="O101" s="122"/>
      <c r="P101" s="122"/>
      <c r="Q101" s="110"/>
      <c r="R101" s="110"/>
      <c r="S101" s="110"/>
      <c r="T101" s="110"/>
      <c r="U101" s="110"/>
      <c r="V101" s="110"/>
      <c r="W101" s="110"/>
      <c r="X101" s="110"/>
      <c r="Y101" s="77"/>
    </row>
    <row r="102" s="17" customFormat="1" spans="1:25">
      <c r="A102" s="112" t="s">
        <v>187</v>
      </c>
      <c r="B102" s="35">
        <f t="shared" ref="B102:H102" si="58">SUM(B103)</f>
        <v>0</v>
      </c>
      <c r="C102" s="76">
        <f t="shared" si="58"/>
        <v>82499</v>
      </c>
      <c r="D102" s="76">
        <f t="shared" si="58"/>
        <v>26500</v>
      </c>
      <c r="E102" s="76">
        <f t="shared" si="58"/>
        <v>35569</v>
      </c>
      <c r="F102" s="76">
        <f t="shared" si="58"/>
        <v>26500</v>
      </c>
      <c r="G102" s="76">
        <f t="shared" si="58"/>
        <v>17160</v>
      </c>
      <c r="H102" s="76">
        <f t="shared" si="58"/>
        <v>22342</v>
      </c>
      <c r="I102" s="75">
        <f t="shared" ref="I102:I104" si="59">ROUND(H102/F102*100,2)</f>
        <v>84.31</v>
      </c>
      <c r="J102" s="75">
        <f t="shared" ref="J102:J104" si="60">ROUND(H102/G102*100,2)</f>
        <v>130.2</v>
      </c>
      <c r="K102" s="76">
        <f t="shared" ref="K102:K104" si="61">H102-E102</f>
        <v>-13227</v>
      </c>
      <c r="L102" s="75">
        <f t="shared" ref="L102:L104" si="62">ROUND(K102/E102*100,2)</f>
        <v>-37.19</v>
      </c>
      <c r="M102" s="112" t="s">
        <v>188</v>
      </c>
      <c r="N102" s="76">
        <f t="shared" ref="N102:T102" si="63">SUM(N103)</f>
        <v>5500</v>
      </c>
      <c r="O102" s="76">
        <f t="shared" si="63"/>
        <v>16220</v>
      </c>
      <c r="P102" s="76">
        <f t="shared" si="63"/>
        <v>26918</v>
      </c>
      <c r="Q102" s="76">
        <f t="shared" si="63"/>
        <v>26931</v>
      </c>
      <c r="R102" s="76">
        <f t="shared" si="63"/>
        <v>30100</v>
      </c>
      <c r="S102" s="76">
        <f t="shared" si="63"/>
        <v>19450</v>
      </c>
      <c r="T102" s="76">
        <f t="shared" si="63"/>
        <v>19450</v>
      </c>
      <c r="U102" s="75">
        <f t="shared" ref="U102:U104" si="64">ROUND(T102/R102*100,2)</f>
        <v>64.62</v>
      </c>
      <c r="V102" s="75">
        <f t="shared" ref="V102:V104" si="65">ROUND(T102/S102*100,2)</f>
        <v>100</v>
      </c>
      <c r="W102" s="76">
        <f t="shared" ref="W102:W104" si="66">T102-Q102</f>
        <v>-7481</v>
      </c>
      <c r="X102" s="75">
        <f t="shared" ref="X102:X104" si="67">ROUND(W102/Q102*100,2)</f>
        <v>-27.78</v>
      </c>
      <c r="Y102" s="77"/>
    </row>
    <row r="103" s="17" customFormat="1" spans="1:25">
      <c r="A103" s="97" t="s">
        <v>189</v>
      </c>
      <c r="B103" s="35">
        <f t="shared" ref="B103:H103" si="68">SUM(B104:B107)</f>
        <v>0</v>
      </c>
      <c r="C103" s="76">
        <f t="shared" si="68"/>
        <v>82499</v>
      </c>
      <c r="D103" s="76">
        <f t="shared" si="68"/>
        <v>26500</v>
      </c>
      <c r="E103" s="76">
        <f t="shared" si="68"/>
        <v>35569</v>
      </c>
      <c r="F103" s="76">
        <f t="shared" si="68"/>
        <v>26500</v>
      </c>
      <c r="G103" s="76">
        <f t="shared" si="68"/>
        <v>17160</v>
      </c>
      <c r="H103" s="76">
        <f t="shared" si="68"/>
        <v>22342</v>
      </c>
      <c r="I103" s="75">
        <f t="shared" si="59"/>
        <v>84.31</v>
      </c>
      <c r="J103" s="75">
        <f t="shared" si="60"/>
        <v>130.2</v>
      </c>
      <c r="K103" s="76">
        <f t="shared" si="61"/>
        <v>-13227</v>
      </c>
      <c r="L103" s="75">
        <f t="shared" si="62"/>
        <v>-37.19</v>
      </c>
      <c r="M103" s="97" t="s">
        <v>190</v>
      </c>
      <c r="N103" s="76">
        <f t="shared" ref="N103:T103" si="69">SUM(N104:N107)</f>
        <v>5500</v>
      </c>
      <c r="O103" s="76">
        <f t="shared" si="69"/>
        <v>16220</v>
      </c>
      <c r="P103" s="76">
        <f t="shared" si="69"/>
        <v>26918</v>
      </c>
      <c r="Q103" s="76">
        <f t="shared" si="69"/>
        <v>26931</v>
      </c>
      <c r="R103" s="76">
        <f t="shared" si="69"/>
        <v>30100</v>
      </c>
      <c r="S103" s="76">
        <f t="shared" si="69"/>
        <v>19450</v>
      </c>
      <c r="T103" s="76">
        <f t="shared" si="69"/>
        <v>19450</v>
      </c>
      <c r="U103" s="75">
        <f t="shared" si="64"/>
        <v>64.62</v>
      </c>
      <c r="V103" s="75">
        <f t="shared" si="65"/>
        <v>100</v>
      </c>
      <c r="W103" s="76">
        <f t="shared" si="66"/>
        <v>-7481</v>
      </c>
      <c r="X103" s="75">
        <f t="shared" si="67"/>
        <v>-27.78</v>
      </c>
      <c r="Y103" s="77"/>
    </row>
    <row r="104" s="17" customFormat="1" ht="24" spans="1:25">
      <c r="A104" s="97" t="s">
        <v>191</v>
      </c>
      <c r="B104" s="99"/>
      <c r="C104" s="99">
        <f>67268+15200</f>
        <v>82468</v>
      </c>
      <c r="D104" s="76">
        <v>26500</v>
      </c>
      <c r="E104" s="76">
        <v>35569</v>
      </c>
      <c r="F104" s="76">
        <v>26500</v>
      </c>
      <c r="G104" s="76">
        <f>(12200+3000)+1960</f>
        <v>17160</v>
      </c>
      <c r="H104" s="76">
        <f>(12200+3000)+1960</f>
        <v>17160</v>
      </c>
      <c r="I104" s="75">
        <f t="shared" si="59"/>
        <v>64.75</v>
      </c>
      <c r="J104" s="75">
        <f t="shared" si="60"/>
        <v>100</v>
      </c>
      <c r="K104" s="76">
        <f t="shared" si="61"/>
        <v>-18409</v>
      </c>
      <c r="L104" s="75">
        <f t="shared" si="62"/>
        <v>-51.76</v>
      </c>
      <c r="M104" s="97" t="s">
        <v>192</v>
      </c>
      <c r="N104" s="76">
        <v>5500</v>
      </c>
      <c r="O104" s="76">
        <v>15900</v>
      </c>
      <c r="P104" s="76">
        <f>26600</f>
        <v>26600</v>
      </c>
      <c r="Q104" s="76">
        <f>26500+100</f>
        <v>26600</v>
      </c>
      <c r="R104" s="76">
        <f>26500+3200</f>
        <v>29700</v>
      </c>
      <c r="S104" s="76">
        <f>15200+1701</f>
        <v>16901</v>
      </c>
      <c r="T104" s="76">
        <f>15200+1701</f>
        <v>16901</v>
      </c>
      <c r="U104" s="75">
        <f t="shared" si="64"/>
        <v>56.91</v>
      </c>
      <c r="V104" s="75">
        <f t="shared" si="65"/>
        <v>100</v>
      </c>
      <c r="W104" s="76">
        <f t="shared" si="66"/>
        <v>-9699</v>
      </c>
      <c r="X104" s="75">
        <f t="shared" si="67"/>
        <v>-36.46</v>
      </c>
      <c r="Y104" s="77"/>
    </row>
    <row r="105" s="17" customFormat="1" ht="24" spans="1:25">
      <c r="A105" s="97" t="s">
        <v>193</v>
      </c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7" t="s">
        <v>194</v>
      </c>
      <c r="N105" s="122"/>
      <c r="O105" s="99"/>
      <c r="P105" s="76"/>
      <c r="Q105" s="76"/>
      <c r="R105" s="76"/>
      <c r="S105" s="76"/>
      <c r="T105" s="76"/>
      <c r="U105" s="76"/>
      <c r="V105" s="76"/>
      <c r="W105" s="76"/>
      <c r="X105" s="76"/>
      <c r="Y105" s="77"/>
    </row>
    <row r="106" s="17" customFormat="1" ht="24" spans="1:25">
      <c r="A106" s="97" t="s">
        <v>195</v>
      </c>
      <c r="B106" s="99"/>
      <c r="C106" s="99">
        <v>31</v>
      </c>
      <c r="D106" s="99"/>
      <c r="E106" s="99"/>
      <c r="F106" s="99"/>
      <c r="G106" s="99"/>
      <c r="H106" s="99"/>
      <c r="I106" s="99"/>
      <c r="J106" s="99"/>
      <c r="K106" s="99"/>
      <c r="L106" s="99"/>
      <c r="M106" s="97" t="s">
        <v>196</v>
      </c>
      <c r="N106" s="122"/>
      <c r="O106" s="99">
        <v>320</v>
      </c>
      <c r="P106" s="76">
        <v>318</v>
      </c>
      <c r="Q106" s="76">
        <v>331</v>
      </c>
      <c r="R106" s="76">
        <v>400</v>
      </c>
      <c r="S106" s="76">
        <f>575+1</f>
        <v>576</v>
      </c>
      <c r="T106" s="76">
        <f>575+1</f>
        <v>576</v>
      </c>
      <c r="U106" s="75">
        <f>ROUND(T106/R106*100,2)</f>
        <v>144</v>
      </c>
      <c r="V106" s="75">
        <f>ROUND(T106/S106*100,2)</f>
        <v>100</v>
      </c>
      <c r="W106" s="76">
        <f>T106-Q106</f>
        <v>245</v>
      </c>
      <c r="X106" s="75">
        <f t="shared" ref="X106:X110" si="70">ROUND(W106/Q106*100,2)</f>
        <v>74.02</v>
      </c>
      <c r="Y106" s="77"/>
    </row>
    <row r="107" s="17" customFormat="1" ht="24" spans="1:25">
      <c r="A107" s="97" t="s">
        <v>197</v>
      </c>
      <c r="B107" s="99"/>
      <c r="C107" s="99"/>
      <c r="D107" s="99"/>
      <c r="E107" s="99"/>
      <c r="F107" s="99"/>
      <c r="H107" s="76">
        <f>+(731+1242+3209)</f>
        <v>5182</v>
      </c>
      <c r="I107" s="75"/>
      <c r="J107" s="75">
        <f>ROUND(H107/T107*100,2)</f>
        <v>262.65</v>
      </c>
      <c r="K107" s="76">
        <f t="shared" ref="K107:K115" si="71">H107-E107</f>
        <v>5182</v>
      </c>
      <c r="L107" s="75"/>
      <c r="M107" s="97" t="s">
        <v>198</v>
      </c>
      <c r="N107" s="122"/>
      <c r="O107" s="99"/>
      <c r="P107" s="76"/>
      <c r="Q107" s="76"/>
      <c r="R107" s="76"/>
      <c r="S107" s="76">
        <f>+(731+1242)</f>
        <v>1973</v>
      </c>
      <c r="T107" s="76">
        <f>+(731+1242)</f>
        <v>1973</v>
      </c>
      <c r="U107" s="75"/>
      <c r="V107" s="75"/>
      <c r="W107" s="76"/>
      <c r="X107" s="75"/>
      <c r="Y107" s="77"/>
    </row>
    <row r="108" s="17" customFormat="1" spans="1:25">
      <c r="A108" s="113" t="s">
        <v>199</v>
      </c>
      <c r="B108" s="35">
        <f t="shared" ref="B108:H108" si="72">SUM(B109:B110)</f>
        <v>0</v>
      </c>
      <c r="C108" s="35">
        <f t="shared" si="72"/>
        <v>0</v>
      </c>
      <c r="D108" s="35">
        <f t="shared" si="72"/>
        <v>0</v>
      </c>
      <c r="E108" s="35">
        <f t="shared" si="72"/>
        <v>0</v>
      </c>
      <c r="F108" s="35">
        <f t="shared" si="72"/>
        <v>0</v>
      </c>
      <c r="G108" s="35">
        <f t="shared" si="72"/>
        <v>0</v>
      </c>
      <c r="H108" s="35">
        <f t="shared" si="72"/>
        <v>0</v>
      </c>
      <c r="I108" s="35"/>
      <c r="J108" s="35"/>
      <c r="K108" s="35"/>
      <c r="L108" s="35"/>
      <c r="M108" s="113" t="s">
        <v>200</v>
      </c>
      <c r="N108" s="76">
        <f t="shared" ref="N108:T108" si="73">SUM(N109:N110)</f>
        <v>4211</v>
      </c>
      <c r="O108" s="76">
        <f t="shared" si="73"/>
        <v>28410</v>
      </c>
      <c r="P108" s="76">
        <f t="shared" si="73"/>
        <v>3703</v>
      </c>
      <c r="Q108" s="76">
        <f t="shared" si="73"/>
        <v>7549</v>
      </c>
      <c r="R108" s="76">
        <f t="shared" si="73"/>
        <v>7538</v>
      </c>
      <c r="S108" s="35">
        <f t="shared" si="73"/>
        <v>5121</v>
      </c>
      <c r="T108" s="76">
        <f t="shared" si="73"/>
        <v>5173</v>
      </c>
      <c r="U108" s="75">
        <f>ROUND(T108/R108*100,2)</f>
        <v>68.63</v>
      </c>
      <c r="V108" s="75">
        <f>ROUND(T108/S108*100,2)</f>
        <v>101.02</v>
      </c>
      <c r="W108" s="76">
        <f>T108-Q108</f>
        <v>-2376</v>
      </c>
      <c r="X108" s="75">
        <f t="shared" si="70"/>
        <v>-31.47</v>
      </c>
      <c r="Y108" s="77"/>
    </row>
    <row r="109" s="17" customFormat="1" spans="1:25">
      <c r="A109" s="114" t="s">
        <v>201</v>
      </c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114" t="s">
        <v>202</v>
      </c>
      <c r="N109" s="76">
        <v>59</v>
      </c>
      <c r="O109" s="76">
        <v>59</v>
      </c>
      <c r="P109" s="76">
        <v>59</v>
      </c>
      <c r="Q109" s="76">
        <v>59</v>
      </c>
      <c r="R109" s="76">
        <v>59</v>
      </c>
      <c r="S109" s="76">
        <v>59</v>
      </c>
      <c r="T109" s="76">
        <v>59</v>
      </c>
      <c r="U109" s="75">
        <f>ROUND(T109/R109*100,2)</f>
        <v>100</v>
      </c>
      <c r="V109" s="75">
        <f>ROUND(T109/S109*100,2)</f>
        <v>100</v>
      </c>
      <c r="W109" s="35">
        <f>T109-Q109</f>
        <v>0</v>
      </c>
      <c r="X109" s="35">
        <f t="shared" si="70"/>
        <v>0</v>
      </c>
      <c r="Y109" s="77"/>
    </row>
    <row r="110" s="17" customFormat="1" spans="1:25">
      <c r="A110" s="114" t="s">
        <v>203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114" t="s">
        <v>204</v>
      </c>
      <c r="N110" s="76">
        <v>4152</v>
      </c>
      <c r="O110" s="76">
        <v>28351</v>
      </c>
      <c r="P110" s="76">
        <f>7644-4000</f>
        <v>3644</v>
      </c>
      <c r="Q110" s="76">
        <v>7490</v>
      </c>
      <c r="R110" s="76">
        <v>7479</v>
      </c>
      <c r="S110" s="76">
        <f>1434+3710-96+ROUND(243*6%,0)-1</f>
        <v>5062</v>
      </c>
      <c r="T110" s="76">
        <v>5114</v>
      </c>
      <c r="U110" s="75">
        <f>ROUND(T110/R110*100,2)</f>
        <v>68.38</v>
      </c>
      <c r="V110" s="75">
        <f>ROUND(T110/S110*100,2)</f>
        <v>101.03</v>
      </c>
      <c r="W110" s="76">
        <f>T110-Q110</f>
        <v>-2376</v>
      </c>
      <c r="X110" s="75">
        <f t="shared" si="70"/>
        <v>-31.72</v>
      </c>
      <c r="Y110" s="77"/>
    </row>
    <row r="111" s="17" customFormat="1" spans="1:25">
      <c r="A111" s="113" t="s">
        <v>205</v>
      </c>
      <c r="B111" s="99">
        <v>48439</v>
      </c>
      <c r="C111" s="99">
        <v>52663</v>
      </c>
      <c r="D111" s="76">
        <v>146829</v>
      </c>
      <c r="E111" s="76">
        <v>153995</v>
      </c>
      <c r="F111" s="76">
        <v>172099</v>
      </c>
      <c r="G111" s="76">
        <v>172099</v>
      </c>
      <c r="H111" s="76">
        <v>172099</v>
      </c>
      <c r="I111" s="75">
        <f>ROUND(H111/F111*100,2)</f>
        <v>100</v>
      </c>
      <c r="J111" s="75">
        <f>ROUND(H111/G111*100,2)</f>
        <v>100</v>
      </c>
      <c r="K111" s="76">
        <f t="shared" si="71"/>
        <v>18104</v>
      </c>
      <c r="L111" s="75">
        <f t="shared" ref="L107:L115" si="74">ROUND(K111/E111*100,2)</f>
        <v>11.76</v>
      </c>
      <c r="M111" s="113" t="s">
        <v>206</v>
      </c>
      <c r="N111" s="122"/>
      <c r="O111" s="122"/>
      <c r="P111" s="76"/>
      <c r="Q111" s="76"/>
      <c r="R111" s="75"/>
      <c r="S111" s="75"/>
      <c r="T111" s="76"/>
      <c r="U111" s="75"/>
      <c r="V111" s="75"/>
      <c r="W111" s="75"/>
      <c r="X111" s="75"/>
      <c r="Y111" s="77"/>
    </row>
    <row r="112" s="17" customFormat="1" spans="1:25">
      <c r="A112" s="113" t="s">
        <v>207</v>
      </c>
      <c r="B112" s="99"/>
      <c r="C112" s="99">
        <v>1582</v>
      </c>
      <c r="D112" s="76">
        <v>23100</v>
      </c>
      <c r="E112" s="76">
        <v>34091</v>
      </c>
      <c r="F112" s="76">
        <v>24573</v>
      </c>
      <c r="G112" s="76">
        <v>26064</v>
      </c>
      <c r="H112" s="76">
        <v>26064</v>
      </c>
      <c r="I112" s="75">
        <f>ROUND(H112/F112*100,2)</f>
        <v>106.07</v>
      </c>
      <c r="J112" s="75">
        <f>ROUND(H112/G112*100,2)</f>
        <v>100</v>
      </c>
      <c r="K112" s="76">
        <f t="shared" si="71"/>
        <v>-8027</v>
      </c>
      <c r="L112" s="75">
        <f t="shared" si="74"/>
        <v>-23.55</v>
      </c>
      <c r="M112" s="113" t="s">
        <v>208</v>
      </c>
      <c r="N112" s="122"/>
      <c r="O112" s="76">
        <v>34091</v>
      </c>
      <c r="P112" s="76"/>
      <c r="Q112" s="76">
        <v>26064</v>
      </c>
      <c r="R112" s="75"/>
      <c r="S112" s="76">
        <v>51054</v>
      </c>
      <c r="T112" s="76">
        <v>56973</v>
      </c>
      <c r="U112" s="75"/>
      <c r="V112" s="75">
        <f>ROUND(T112/S112*100,2)</f>
        <v>111.59</v>
      </c>
      <c r="W112" s="75"/>
      <c r="X112" s="75"/>
      <c r="Y112" s="77"/>
    </row>
    <row r="113" s="17" customFormat="1" spans="1:25">
      <c r="A113" s="113" t="s">
        <v>209</v>
      </c>
      <c r="B113" s="76">
        <f t="shared" ref="B113:H113" si="75">SUM(B114:B116)</f>
        <v>34772</v>
      </c>
      <c r="C113" s="76">
        <f t="shared" si="75"/>
        <v>3641</v>
      </c>
      <c r="D113" s="35">
        <f t="shared" si="75"/>
        <v>0</v>
      </c>
      <c r="E113" s="76">
        <f t="shared" si="75"/>
        <v>1062</v>
      </c>
      <c r="F113" s="76">
        <f t="shared" si="75"/>
        <v>0</v>
      </c>
      <c r="G113" s="76">
        <f t="shared" si="75"/>
        <v>2541</v>
      </c>
      <c r="H113" s="76">
        <f t="shared" si="75"/>
        <v>2738</v>
      </c>
      <c r="I113" s="75"/>
      <c r="J113" s="75">
        <f>ROUND(H113/G113*100,2)</f>
        <v>107.75</v>
      </c>
      <c r="K113" s="76">
        <f t="shared" si="71"/>
        <v>1676</v>
      </c>
      <c r="L113" s="75">
        <f t="shared" si="74"/>
        <v>157.82</v>
      </c>
      <c r="M113" s="113" t="s">
        <v>210</v>
      </c>
      <c r="N113" s="122"/>
      <c r="O113" s="122"/>
      <c r="P113" s="122"/>
      <c r="Q113" s="110"/>
      <c r="R113" s="110"/>
      <c r="S113" s="76">
        <v>2188</v>
      </c>
      <c r="T113" s="76">
        <v>2188</v>
      </c>
      <c r="U113" s="110"/>
      <c r="V113" s="75">
        <f>ROUND(T113/S113*100,2)</f>
        <v>100</v>
      </c>
      <c r="W113" s="110"/>
      <c r="X113" s="110"/>
      <c r="Y113" s="77"/>
    </row>
    <row r="114" s="17" customFormat="1" ht="24" spans="1:25">
      <c r="A114" s="97" t="s">
        <v>211</v>
      </c>
      <c r="B114" s="76">
        <v>34772</v>
      </c>
      <c r="C114" s="76">
        <v>3641</v>
      </c>
      <c r="D114" s="76"/>
      <c r="E114" s="76">
        <v>1062</v>
      </c>
      <c r="F114" s="75"/>
      <c r="G114" s="76">
        <v>2511</v>
      </c>
      <c r="H114" s="76">
        <v>2708</v>
      </c>
      <c r="I114" s="75"/>
      <c r="J114" s="75">
        <f>ROUND(H114/G114*100,2)</f>
        <v>107.85</v>
      </c>
      <c r="K114" s="76">
        <f t="shared" si="71"/>
        <v>1646</v>
      </c>
      <c r="L114" s="75">
        <f t="shared" si="74"/>
        <v>154.99</v>
      </c>
      <c r="M114" s="113" t="s">
        <v>212</v>
      </c>
      <c r="N114" s="122"/>
      <c r="O114" s="122"/>
      <c r="P114" s="122"/>
      <c r="Q114" s="110"/>
      <c r="R114" s="110"/>
      <c r="S114" s="110"/>
      <c r="T114" s="76">
        <v>3209</v>
      </c>
      <c r="U114" s="110"/>
      <c r="V114" s="110"/>
      <c r="W114" s="110"/>
      <c r="X114" s="110"/>
      <c r="Y114" s="77"/>
    </row>
    <row r="115" s="17" customFormat="1" ht="24" spans="1:25">
      <c r="A115" s="97" t="s">
        <v>213</v>
      </c>
      <c r="B115" s="76"/>
      <c r="C115" s="76"/>
      <c r="D115" s="76"/>
      <c r="E115" s="76"/>
      <c r="F115" s="99"/>
      <c r="G115" s="76">
        <v>30</v>
      </c>
      <c r="H115" s="76">
        <v>30</v>
      </c>
      <c r="I115" s="75"/>
      <c r="J115" s="75">
        <f>ROUND(H115/G115*100,2)</f>
        <v>100</v>
      </c>
      <c r="K115" s="76">
        <f t="shared" si="71"/>
        <v>30</v>
      </c>
      <c r="L115" s="75"/>
      <c r="M115" s="113" t="s">
        <v>214</v>
      </c>
      <c r="N115" s="76">
        <f t="shared" ref="N115:T115" si="76">SUM(B118,-N32,-N34,-N102,-N108,-N111,-N112,-N113)</f>
        <v>2</v>
      </c>
      <c r="O115" s="76">
        <f t="shared" si="76"/>
        <v>153995</v>
      </c>
      <c r="P115" s="35">
        <f t="shared" si="76"/>
        <v>0</v>
      </c>
      <c r="Q115" s="76">
        <f t="shared" si="76"/>
        <v>172099</v>
      </c>
      <c r="R115" s="35">
        <f t="shared" si="76"/>
        <v>0</v>
      </c>
      <c r="S115" s="35">
        <f t="shared" si="76"/>
        <v>0</v>
      </c>
      <c r="T115" s="76">
        <f>SUM(H118,-T32,-T34,-T102,-T108,-T111,-T112,-T113,-T114)</f>
        <v>121292</v>
      </c>
      <c r="U115" s="75"/>
      <c r="V115" s="75"/>
      <c r="W115" s="76">
        <f>T115-Q115</f>
        <v>-50807</v>
      </c>
      <c r="X115" s="75"/>
      <c r="Y115" s="77"/>
    </row>
    <row r="116" s="17" customFormat="1" ht="24" spans="1:25">
      <c r="A116" s="97" t="s">
        <v>215</v>
      </c>
      <c r="B116" s="76"/>
      <c r="C116" s="76"/>
      <c r="D116" s="76"/>
      <c r="E116" s="76"/>
      <c r="F116" s="99"/>
      <c r="G116" s="99"/>
      <c r="H116" s="99"/>
      <c r="I116" s="99"/>
      <c r="J116" s="99"/>
      <c r="K116" s="99"/>
      <c r="L116" s="99"/>
      <c r="M116" s="114" t="s">
        <v>216</v>
      </c>
      <c r="N116" s="122"/>
      <c r="O116" s="76">
        <v>153995</v>
      </c>
      <c r="P116" s="76"/>
      <c r="Q116" s="76">
        <f>162197+15+2465+574+6680-130+50+200+50-2</f>
        <v>172099</v>
      </c>
      <c r="R116" s="76"/>
      <c r="S116" s="76"/>
      <c r="T116" s="76">
        <v>121292</v>
      </c>
      <c r="U116" s="75"/>
      <c r="V116" s="75"/>
      <c r="W116" s="76">
        <f t="shared" ref="W115:W119" si="77">T116-Q116</f>
        <v>-50807</v>
      </c>
      <c r="X116" s="75"/>
      <c r="Y116" s="77"/>
    </row>
    <row r="117" s="17" customFormat="1" ht="36" customHeight="1" spans="1:25">
      <c r="A117" s="113"/>
      <c r="B117" s="76"/>
      <c r="C117" s="76"/>
      <c r="D117" s="76"/>
      <c r="E117" s="76"/>
      <c r="F117" s="99"/>
      <c r="G117" s="99"/>
      <c r="H117" s="99"/>
      <c r="I117" s="99"/>
      <c r="J117" s="99"/>
      <c r="K117" s="99"/>
      <c r="L117" s="99"/>
      <c r="M117" s="114" t="s">
        <v>217</v>
      </c>
      <c r="N117" s="76">
        <f t="shared" ref="N117:T117" si="78">SUM(N115,-N116)</f>
        <v>2</v>
      </c>
      <c r="O117" s="35">
        <f t="shared" si="78"/>
        <v>0</v>
      </c>
      <c r="P117" s="35">
        <f t="shared" si="78"/>
        <v>0</v>
      </c>
      <c r="Q117" s="35">
        <f t="shared" si="78"/>
        <v>0</v>
      </c>
      <c r="R117" s="35">
        <f t="shared" si="78"/>
        <v>0</v>
      </c>
      <c r="S117" s="35">
        <f t="shared" si="78"/>
        <v>0</v>
      </c>
      <c r="T117" s="35">
        <f t="shared" si="78"/>
        <v>0</v>
      </c>
      <c r="U117" s="75"/>
      <c r="V117" s="75"/>
      <c r="W117" s="35">
        <f t="shared" si="77"/>
        <v>0</v>
      </c>
      <c r="X117" s="75"/>
      <c r="Y117" s="77"/>
    </row>
    <row r="118" s="17" customFormat="1" spans="1:25">
      <c r="A118" s="45" t="s">
        <v>218</v>
      </c>
      <c r="B118" s="93">
        <f>SUM(B32,B34,B102,B108,B111,B112,B113,B117)</f>
        <v>437660</v>
      </c>
      <c r="C118" s="93">
        <f>SUM(C32,C34,C102,C108,C111,C112,C113,C117)</f>
        <v>570503</v>
      </c>
      <c r="D118" s="93">
        <f>SUM(D32,D34,D102,D108,D111,D112,D113)</f>
        <v>566849</v>
      </c>
      <c r="E118" s="93">
        <f>SUM(E32,E34,E102,E108,E111,E112,E113)</f>
        <v>639771</v>
      </c>
      <c r="F118" s="93">
        <f>SUM(F32,F34,F102,F108,F111,F112,F113)</f>
        <v>597151</v>
      </c>
      <c r="G118" s="93">
        <f>SUM(G32,G34,G102,G108,G111,G112,G113)</f>
        <v>607204</v>
      </c>
      <c r="H118" s="93">
        <f>SUM(H32,H34,H102,H108,H111,H112,H113)</f>
        <v>616384</v>
      </c>
      <c r="I118" s="92">
        <f>ROUND(H118/F118*100,2)</f>
        <v>103.22</v>
      </c>
      <c r="J118" s="92">
        <f>ROUND(H118/G118*100,2)</f>
        <v>101.51</v>
      </c>
      <c r="K118" s="93">
        <f>H118-E118</f>
        <v>-23387</v>
      </c>
      <c r="L118" s="92">
        <f>ROUND(K118/E118*100,2)</f>
        <v>-3.66</v>
      </c>
      <c r="M118" s="45" t="s">
        <v>219</v>
      </c>
      <c r="N118" s="93">
        <f t="shared" ref="N118:T118" si="79">SUM(N32,N34,N102,N108,N111,N112,N113,N115)</f>
        <v>437660</v>
      </c>
      <c r="O118" s="93">
        <f t="shared" si="79"/>
        <v>570503</v>
      </c>
      <c r="P118" s="93">
        <f t="shared" si="79"/>
        <v>566849</v>
      </c>
      <c r="Q118" s="93">
        <f t="shared" si="79"/>
        <v>639771</v>
      </c>
      <c r="R118" s="93">
        <f t="shared" si="79"/>
        <v>597151</v>
      </c>
      <c r="S118" s="93">
        <f t="shared" si="79"/>
        <v>607204</v>
      </c>
      <c r="T118" s="93">
        <f>SUM(T32,T34,T102,T108,T111,T112,T113,T114,T115)</f>
        <v>616384</v>
      </c>
      <c r="U118" s="92">
        <f>ROUND(T118/R118*100,2)</f>
        <v>103.22</v>
      </c>
      <c r="V118" s="92">
        <f>ROUND(T118/S118*100,2)</f>
        <v>101.51</v>
      </c>
      <c r="W118" s="93">
        <f t="shared" si="77"/>
        <v>-23387</v>
      </c>
      <c r="X118" s="92">
        <f>ROUND(W118/Q118*100,2)</f>
        <v>-3.66</v>
      </c>
      <c r="Y118" s="77"/>
    </row>
    <row r="119" s="17" customFormat="1" hidden="1" spans="1:24">
      <c r="A119" s="115" t="s">
        <v>220</v>
      </c>
      <c r="B119" s="116">
        <f>B35+B43+B44+B45+B50+B51+B53</f>
        <v>129008</v>
      </c>
      <c r="C119" s="116">
        <f t="shared" ref="C119:H119" si="80">C35+C43+C44+C45+C50+C51+C53</f>
        <v>140382</v>
      </c>
      <c r="D119" s="116">
        <f t="shared" si="80"/>
        <v>130838</v>
      </c>
      <c r="E119" s="116">
        <f t="shared" si="80"/>
        <v>147862</v>
      </c>
      <c r="F119" s="116">
        <f t="shared" si="80"/>
        <v>133466</v>
      </c>
      <c r="G119" s="116">
        <f t="shared" si="80"/>
        <v>148227</v>
      </c>
      <c r="H119" s="116">
        <f t="shared" si="80"/>
        <v>148227</v>
      </c>
      <c r="I119" s="116"/>
      <c r="J119" s="118"/>
      <c r="K119" s="118"/>
      <c r="L119" s="118"/>
      <c r="M119" s="41" t="s">
        <v>221</v>
      </c>
      <c r="N119" s="123">
        <f t="shared" ref="N119:T119" si="81">SUM(N10,N11,N12,N13,N14,N15,N16,N17,N18,N20,N23,N24,N25)</f>
        <v>322188</v>
      </c>
      <c r="O119" s="123">
        <f t="shared" si="81"/>
        <v>315235</v>
      </c>
      <c r="P119" s="123">
        <f t="shared" si="81"/>
        <v>435396</v>
      </c>
      <c r="Q119" s="123">
        <f t="shared" si="81"/>
        <v>351892</v>
      </c>
      <c r="R119" s="123">
        <f t="shared" si="81"/>
        <v>451902</v>
      </c>
      <c r="S119" s="123">
        <f t="shared" si="81"/>
        <v>474294</v>
      </c>
      <c r="T119" s="123">
        <f t="shared" si="81"/>
        <v>358286</v>
      </c>
      <c r="U119" s="126">
        <f>ROUND(T119/R119*100,2)</f>
        <v>79.28</v>
      </c>
      <c r="V119" s="126">
        <f>ROUND(T119/S119*100,2)</f>
        <v>75.54</v>
      </c>
      <c r="W119" s="127">
        <f t="shared" si="77"/>
        <v>6394</v>
      </c>
      <c r="X119" s="126">
        <f>ROUND(W119/Q119*100,2)</f>
        <v>1.82</v>
      </c>
    </row>
    <row r="120" s="17" customFormat="1" ht="24" hidden="1" spans="1:20">
      <c r="A120" s="117" t="s">
        <v>222</v>
      </c>
      <c r="B120" s="118">
        <f>SUM(B119,-B81,-B111)</f>
        <v>54909</v>
      </c>
      <c r="C120" s="118">
        <f>SUM(C119,-C81,-C111)</f>
        <v>41264</v>
      </c>
      <c r="D120" s="118">
        <f>SUM(D119,-D81,-D111)</f>
        <v>-43443</v>
      </c>
      <c r="E120" s="118">
        <f>SUM(E119,-E81,-E111)</f>
        <v>-38192</v>
      </c>
      <c r="F120" s="118"/>
      <c r="G120" s="118"/>
      <c r="H120" s="118"/>
      <c r="I120" s="118"/>
      <c r="J120" s="118"/>
      <c r="K120" s="118"/>
      <c r="L120" s="118"/>
      <c r="M120" s="120" t="s">
        <v>223</v>
      </c>
      <c r="N120" s="124">
        <f t="shared" ref="N120:T120" si="82">ROUND(N119/N32*100,2)</f>
        <v>75.29</v>
      </c>
      <c r="O120" s="124">
        <f t="shared" si="82"/>
        <v>93.32</v>
      </c>
      <c r="P120" s="124">
        <f t="shared" si="82"/>
        <v>81.2</v>
      </c>
      <c r="Q120" s="124">
        <f t="shared" si="82"/>
        <v>86.43</v>
      </c>
      <c r="R120" s="124">
        <f t="shared" si="82"/>
        <v>80.77</v>
      </c>
      <c r="S120" s="124">
        <f t="shared" si="82"/>
        <v>89.59</v>
      </c>
      <c r="T120" s="124">
        <f t="shared" si="82"/>
        <v>87.79</v>
      </c>
    </row>
    <row r="121" s="17" customFormat="1" hidden="1" spans="1:20">
      <c r="A121" s="41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25" t="s">
        <v>224</v>
      </c>
      <c r="N121" s="59">
        <f>N118-N114-N115</f>
        <v>437658</v>
      </c>
      <c r="O121" s="59">
        <f t="shared" ref="O121:T121" si="83">O118-O114-O115</f>
        <v>416508</v>
      </c>
      <c r="P121" s="59">
        <f t="shared" si="83"/>
        <v>566849</v>
      </c>
      <c r="Q121" s="59">
        <f t="shared" si="83"/>
        <v>467672</v>
      </c>
      <c r="R121" s="59">
        <f t="shared" si="83"/>
        <v>597151</v>
      </c>
      <c r="S121" s="59">
        <f t="shared" si="83"/>
        <v>607204</v>
      </c>
      <c r="T121" s="59">
        <f t="shared" si="83"/>
        <v>491883</v>
      </c>
    </row>
    <row r="122" s="17" customFormat="1" ht="43" hidden="1" customHeight="1" spans="1:24">
      <c r="A122" s="120" t="s">
        <v>225</v>
      </c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</row>
    <row r="123" hidden="1" spans="8:20">
      <c r="H123" s="17">
        <f>H118-H111</f>
        <v>444285</v>
      </c>
      <c r="T123" s="17">
        <f>T118-T114-T115</f>
        <v>491883</v>
      </c>
    </row>
  </sheetData>
  <autoFilter xmlns:etc="http://www.wps.cn/officeDocument/2017/etCustomData" ref="A5:Y32" etc:filterBottomFollowUsedRange="0">
    <extLst/>
  </autoFilter>
  <mergeCells count="11">
    <mergeCell ref="A2:X2"/>
    <mergeCell ref="T3:U3"/>
    <mergeCell ref="B4:C4"/>
    <mergeCell ref="D4:E4"/>
    <mergeCell ref="F4:L4"/>
    <mergeCell ref="N4:O4"/>
    <mergeCell ref="P4:Q4"/>
    <mergeCell ref="R4:Y4"/>
    <mergeCell ref="A122:X122"/>
    <mergeCell ref="A4:A5"/>
    <mergeCell ref="M4:M5"/>
  </mergeCells>
  <printOptions horizontalCentered="1"/>
  <pageMargins left="0.554861111111111" right="0.554861111111111" top="1" bottom="1" header="0.5" footer="0.5"/>
  <pageSetup paperSize="9" scale="85" fitToHeight="0" orientation="landscape" horizontalDpi="600"/>
  <headerFooter>
    <oddFooter>&amp;C第&amp;P页，总&amp;N页</oddFooter>
  </headerFooter>
  <rowBreaks count="1" manualBreakCount="1">
    <brk id="3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workbookViewId="0">
      <selection activeCell="J14" sqref="J14"/>
    </sheetView>
  </sheetViews>
  <sheetFormatPr defaultColWidth="9" defaultRowHeight="13.5" outlineLevelCol="3"/>
  <cols>
    <col min="1" max="1" width="34.5" customWidth="1"/>
    <col min="2" max="2" width="13" customWidth="1"/>
    <col min="3" max="3" width="35.875" customWidth="1"/>
    <col min="4" max="4" width="13" customWidth="1"/>
  </cols>
  <sheetData>
    <row r="1" spans="1:1">
      <c r="A1" t="s">
        <v>410</v>
      </c>
    </row>
    <row r="2" ht="42" customHeight="1" spans="1:4">
      <c r="A2" s="12" t="s">
        <v>411</v>
      </c>
      <c r="B2" s="12"/>
      <c r="C2" s="12"/>
      <c r="D2" s="12"/>
    </row>
    <row r="3" spans="1:4">
      <c r="A3" s="13" t="s">
        <v>2</v>
      </c>
      <c r="B3" s="14"/>
      <c r="D3" t="s">
        <v>3</v>
      </c>
    </row>
    <row r="4" ht="28" customHeight="1" spans="1:4">
      <c r="A4" s="15" t="s">
        <v>412</v>
      </c>
      <c r="B4" s="15" t="s">
        <v>413</v>
      </c>
      <c r="C4" s="15" t="s">
        <v>414</v>
      </c>
      <c r="D4" s="15" t="s">
        <v>413</v>
      </c>
    </row>
    <row r="5" ht="24" customHeight="1" spans="1:4">
      <c r="A5" s="7" t="s">
        <v>415</v>
      </c>
      <c r="B5" s="7">
        <v>1989.99</v>
      </c>
      <c r="C5" s="7" t="s">
        <v>416</v>
      </c>
      <c r="D5" s="7">
        <v>112.98</v>
      </c>
    </row>
    <row r="6" ht="24" customHeight="1" spans="1:4">
      <c r="A6" s="7" t="s">
        <v>417</v>
      </c>
      <c r="B6" s="7">
        <v>373.99</v>
      </c>
      <c r="C6" s="7" t="s">
        <v>418</v>
      </c>
      <c r="D6" s="7">
        <v>60.85</v>
      </c>
    </row>
    <row r="7" ht="24" customHeight="1" spans="1:4">
      <c r="A7" s="7" t="s">
        <v>419</v>
      </c>
      <c r="B7" s="7">
        <v>121.35</v>
      </c>
      <c r="C7" s="7" t="s">
        <v>420</v>
      </c>
      <c r="D7" s="7">
        <v>370.25</v>
      </c>
    </row>
    <row r="8" ht="24" customHeight="1" spans="1:4">
      <c r="A8" s="7" t="s">
        <v>421</v>
      </c>
      <c r="B8" s="7">
        <v>61.6</v>
      </c>
      <c r="C8" s="7" t="s">
        <v>422</v>
      </c>
      <c r="D8" s="7">
        <v>0</v>
      </c>
    </row>
    <row r="9" ht="24" customHeight="1" spans="1:4">
      <c r="A9" s="7" t="s">
        <v>423</v>
      </c>
      <c r="B9" s="7">
        <v>55.6</v>
      </c>
      <c r="C9" s="7" t="s">
        <v>424</v>
      </c>
      <c r="D9" s="7">
        <v>2003.48</v>
      </c>
    </row>
    <row r="10" ht="24" customHeight="1" spans="1:4">
      <c r="A10" s="7" t="s">
        <v>425</v>
      </c>
      <c r="B10" s="7">
        <v>327.21</v>
      </c>
      <c r="C10" s="7" t="s">
        <v>426</v>
      </c>
      <c r="D10" s="7">
        <v>66.53</v>
      </c>
    </row>
    <row r="11" ht="24" customHeight="1" spans="1:4">
      <c r="A11" s="7" t="s">
        <v>427</v>
      </c>
      <c r="B11" s="7">
        <v>33.84</v>
      </c>
      <c r="C11" s="7" t="s">
        <v>428</v>
      </c>
      <c r="D11" s="7">
        <v>4.01</v>
      </c>
    </row>
    <row r="12" ht="24" customHeight="1" spans="1:4">
      <c r="A12" s="7" t="s">
        <v>429</v>
      </c>
      <c r="B12" s="7">
        <v>333.5</v>
      </c>
      <c r="C12" s="7" t="s">
        <v>430</v>
      </c>
      <c r="D12" s="7">
        <v>1.27</v>
      </c>
    </row>
    <row r="13" ht="24" customHeight="1" spans="1:4">
      <c r="A13" s="7" t="s">
        <v>431</v>
      </c>
      <c r="B13" s="7">
        <v>14</v>
      </c>
      <c r="C13" s="7" t="s">
        <v>432</v>
      </c>
      <c r="D13" s="7">
        <v>334.54</v>
      </c>
    </row>
    <row r="14" ht="24" customHeight="1" spans="1:4">
      <c r="A14" s="7" t="s">
        <v>433</v>
      </c>
      <c r="B14" s="7">
        <v>11.92</v>
      </c>
      <c r="C14" s="7" t="s">
        <v>434</v>
      </c>
      <c r="D14" s="7">
        <v>330</v>
      </c>
    </row>
    <row r="15" ht="24" customHeight="1" spans="1:4">
      <c r="A15" s="7" t="s">
        <v>435</v>
      </c>
      <c r="B15" s="7">
        <v>40</v>
      </c>
      <c r="C15" s="7" t="s">
        <v>436</v>
      </c>
      <c r="D15" s="7">
        <v>14</v>
      </c>
    </row>
    <row r="16" ht="24" customHeight="1" spans="1:4">
      <c r="A16" s="16"/>
      <c r="B16" s="7"/>
      <c r="C16" s="7" t="s">
        <v>437</v>
      </c>
      <c r="D16" s="7">
        <v>0</v>
      </c>
    </row>
    <row r="17" ht="24" customHeight="1" spans="1:4">
      <c r="A17" s="7"/>
      <c r="B17" s="7"/>
      <c r="C17" s="7" t="s">
        <v>438</v>
      </c>
      <c r="D17" s="7">
        <v>65.1</v>
      </c>
    </row>
    <row r="18" ht="24" customHeight="1" spans="1:4">
      <c r="A18" s="16" t="s">
        <v>356</v>
      </c>
      <c r="B18" s="7">
        <v>3363</v>
      </c>
      <c r="C18" s="16" t="s">
        <v>356</v>
      </c>
      <c r="D18" s="7">
        <v>3363</v>
      </c>
    </row>
  </sheetData>
  <mergeCells count="1">
    <mergeCell ref="A2:D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4"/>
  <sheetViews>
    <sheetView tabSelected="1" workbookViewId="0">
      <pane xSplit="3" ySplit="4" topLeftCell="D25" activePane="bottomRight" state="frozen"/>
      <selection/>
      <selection pane="topRight"/>
      <selection pane="bottomLeft"/>
      <selection pane="bottomRight" activeCell="B61" sqref="B61"/>
    </sheetView>
  </sheetViews>
  <sheetFormatPr defaultColWidth="9" defaultRowHeight="13.5" outlineLevelCol="4"/>
  <cols>
    <col min="2" max="2" width="54.125" customWidth="1"/>
    <col min="3" max="3" width="8.375" hidden="1" customWidth="1"/>
    <col min="5" max="5" width="6" customWidth="1"/>
  </cols>
  <sheetData>
    <row r="1" ht="25.5" spans="1:5">
      <c r="A1" s="9" t="s">
        <v>439</v>
      </c>
      <c r="B1" s="9"/>
      <c r="C1" s="9"/>
      <c r="D1" s="9"/>
      <c r="E1" s="9"/>
    </row>
    <row r="2" hidden="1" spans="1:5">
      <c r="A2" s="2"/>
      <c r="B2" s="2"/>
      <c r="C2" s="2"/>
      <c r="D2" s="2"/>
      <c r="E2" s="2"/>
    </row>
    <row r="3" spans="1:5">
      <c r="A3" s="2"/>
      <c r="B3" s="2"/>
      <c r="C3" s="2"/>
      <c r="D3" s="2"/>
      <c r="E3" s="2"/>
    </row>
    <row r="4" ht="34" customHeight="1" spans="1:5">
      <c r="A4" s="10" t="s">
        <v>440</v>
      </c>
      <c r="B4" s="10" t="s">
        <v>441</v>
      </c>
      <c r="C4" s="10" t="s">
        <v>442</v>
      </c>
      <c r="D4" s="10" t="s">
        <v>443</v>
      </c>
      <c r="E4" s="10" t="s">
        <v>444</v>
      </c>
    </row>
    <row r="5" spans="1:5">
      <c r="A5" s="11" t="s">
        <v>445</v>
      </c>
      <c r="B5" s="11" t="s">
        <v>446</v>
      </c>
      <c r="C5" s="11" t="s">
        <v>447</v>
      </c>
      <c r="D5" s="11" t="s">
        <v>448</v>
      </c>
      <c r="E5" s="11" t="s">
        <v>449</v>
      </c>
    </row>
    <row r="6" spans="1:5">
      <c r="A6" s="11" t="s">
        <v>450</v>
      </c>
      <c r="B6" s="11" t="s">
        <v>451</v>
      </c>
      <c r="C6" s="11" t="s">
        <v>452</v>
      </c>
      <c r="D6" s="11" t="s">
        <v>453</v>
      </c>
      <c r="E6" s="11" t="s">
        <v>449</v>
      </c>
    </row>
    <row r="7" spans="1:5">
      <c r="A7" s="11" t="s">
        <v>454</v>
      </c>
      <c r="B7" s="11" t="s">
        <v>455</v>
      </c>
      <c r="C7" s="11" t="s">
        <v>456</v>
      </c>
      <c r="D7" s="11" t="s">
        <v>457</v>
      </c>
      <c r="E7" s="11" t="s">
        <v>449</v>
      </c>
    </row>
    <row r="8" spans="1:5">
      <c r="A8" s="11" t="s">
        <v>458</v>
      </c>
      <c r="B8" s="11" t="s">
        <v>459</v>
      </c>
      <c r="C8" s="11" t="s">
        <v>460</v>
      </c>
      <c r="D8" s="11" t="s">
        <v>461</v>
      </c>
      <c r="E8" s="11" t="s">
        <v>449</v>
      </c>
    </row>
    <row r="9" spans="1:5">
      <c r="A9" s="11" t="s">
        <v>462</v>
      </c>
      <c r="B9" s="11" t="s">
        <v>463</v>
      </c>
      <c r="C9" s="11" t="s">
        <v>464</v>
      </c>
      <c r="D9" s="11" t="s">
        <v>465</v>
      </c>
      <c r="E9" s="11" t="s">
        <v>449</v>
      </c>
    </row>
    <row r="10" spans="1:5">
      <c r="A10" s="11" t="s">
        <v>466</v>
      </c>
      <c r="B10" s="11" t="s">
        <v>467</v>
      </c>
      <c r="C10" s="11" t="s">
        <v>468</v>
      </c>
      <c r="D10" s="11" t="s">
        <v>469</v>
      </c>
      <c r="E10" s="11" t="s">
        <v>449</v>
      </c>
    </row>
    <row r="11" spans="1:5">
      <c r="A11" s="11" t="s">
        <v>470</v>
      </c>
      <c r="B11" s="11" t="s">
        <v>471</v>
      </c>
      <c r="C11" s="11" t="s">
        <v>472</v>
      </c>
      <c r="D11" s="11" t="s">
        <v>473</v>
      </c>
      <c r="E11" s="11" t="s">
        <v>449</v>
      </c>
    </row>
    <row r="12" spans="1:5">
      <c r="A12" s="11" t="s">
        <v>474</v>
      </c>
      <c r="B12" s="11" t="s">
        <v>475</v>
      </c>
      <c r="C12" s="11" t="s">
        <v>476</v>
      </c>
      <c r="D12" s="11" t="s">
        <v>477</v>
      </c>
      <c r="E12" s="11" t="s">
        <v>449</v>
      </c>
    </row>
    <row r="13" spans="1:5">
      <c r="A13" s="11" t="s">
        <v>478</v>
      </c>
      <c r="B13" s="11" t="s">
        <v>479</v>
      </c>
      <c r="C13" s="11" t="s">
        <v>480</v>
      </c>
      <c r="D13" s="11" t="s">
        <v>481</v>
      </c>
      <c r="E13" s="11" t="s">
        <v>449</v>
      </c>
    </row>
    <row r="14" spans="1:5">
      <c r="A14" s="11" t="s">
        <v>482</v>
      </c>
      <c r="B14" s="11" t="s">
        <v>483</v>
      </c>
      <c r="C14" s="11" t="s">
        <v>484</v>
      </c>
      <c r="D14" s="11" t="s">
        <v>485</v>
      </c>
      <c r="E14" s="11" t="s">
        <v>449</v>
      </c>
    </row>
    <row r="15" spans="1:5">
      <c r="A15" s="11" t="s">
        <v>486</v>
      </c>
      <c r="B15" s="11" t="s">
        <v>487</v>
      </c>
      <c r="C15" s="11" t="s">
        <v>488</v>
      </c>
      <c r="D15" s="11" t="s">
        <v>489</v>
      </c>
      <c r="E15" s="11" t="s">
        <v>449</v>
      </c>
    </row>
    <row r="16" spans="1:5">
      <c r="A16" s="11" t="s">
        <v>490</v>
      </c>
      <c r="B16" s="11" t="s">
        <v>491</v>
      </c>
      <c r="C16" s="11" t="s">
        <v>492</v>
      </c>
      <c r="D16" s="11" t="s">
        <v>493</v>
      </c>
      <c r="E16" s="11" t="s">
        <v>449</v>
      </c>
    </row>
    <row r="17" spans="1:5">
      <c r="A17" s="11" t="s">
        <v>494</v>
      </c>
      <c r="B17" s="11" t="s">
        <v>495</v>
      </c>
      <c r="C17" s="11" t="s">
        <v>496</v>
      </c>
      <c r="D17" s="11" t="s">
        <v>497</v>
      </c>
      <c r="E17" s="11" t="s">
        <v>449</v>
      </c>
    </row>
    <row r="18" spans="1:5">
      <c r="A18" s="11" t="s">
        <v>498</v>
      </c>
      <c r="B18" s="11" t="s">
        <v>499</v>
      </c>
      <c r="C18" s="11" t="s">
        <v>500</v>
      </c>
      <c r="D18" s="11" t="s">
        <v>501</v>
      </c>
      <c r="E18" s="11" t="s">
        <v>449</v>
      </c>
    </row>
    <row r="19" spans="1:5">
      <c r="A19" s="11" t="s">
        <v>502</v>
      </c>
      <c r="B19" s="11" t="s">
        <v>503</v>
      </c>
      <c r="C19" s="11" t="s">
        <v>504</v>
      </c>
      <c r="D19" s="11" t="s">
        <v>505</v>
      </c>
      <c r="E19" s="11" t="s">
        <v>506</v>
      </c>
    </row>
    <row r="20" spans="1:5">
      <c r="A20" s="11" t="s">
        <v>507</v>
      </c>
      <c r="B20" s="11" t="s">
        <v>508</v>
      </c>
      <c r="C20" s="11" t="s">
        <v>509</v>
      </c>
      <c r="D20" s="11" t="s">
        <v>510</v>
      </c>
      <c r="E20" s="11" t="s">
        <v>449</v>
      </c>
    </row>
    <row r="21" spans="1:5">
      <c r="A21" s="11" t="s">
        <v>511</v>
      </c>
      <c r="B21" s="11" t="s">
        <v>512</v>
      </c>
      <c r="C21" s="11" t="s">
        <v>513</v>
      </c>
      <c r="D21" s="11" t="s">
        <v>514</v>
      </c>
      <c r="E21" s="11" t="s">
        <v>449</v>
      </c>
    </row>
    <row r="22" spans="1:5">
      <c r="A22" s="11" t="s">
        <v>515</v>
      </c>
      <c r="B22" s="11" t="s">
        <v>516</v>
      </c>
      <c r="C22" s="11" t="s">
        <v>517</v>
      </c>
      <c r="D22" s="11" t="s">
        <v>518</v>
      </c>
      <c r="E22" s="11" t="s">
        <v>519</v>
      </c>
    </row>
    <row r="23" spans="1:5">
      <c r="A23" s="11" t="s">
        <v>520</v>
      </c>
      <c r="B23" s="11" t="s">
        <v>521</v>
      </c>
      <c r="C23" s="11" t="s">
        <v>522</v>
      </c>
      <c r="D23" s="11" t="s">
        <v>523</v>
      </c>
      <c r="E23" s="11" t="s">
        <v>449</v>
      </c>
    </row>
    <row r="24" spans="1:5">
      <c r="A24" s="11" t="s">
        <v>524</v>
      </c>
      <c r="B24" s="11" t="s">
        <v>525</v>
      </c>
      <c r="C24" s="11" t="s">
        <v>526</v>
      </c>
      <c r="D24" s="11" t="s">
        <v>527</v>
      </c>
      <c r="E24" s="11" t="s">
        <v>449</v>
      </c>
    </row>
    <row r="25" spans="1:5">
      <c r="A25" s="11" t="s">
        <v>528</v>
      </c>
      <c r="B25" s="11" t="s">
        <v>529</v>
      </c>
      <c r="C25" s="11" t="s">
        <v>530</v>
      </c>
      <c r="D25" s="11" t="s">
        <v>531</v>
      </c>
      <c r="E25" s="11" t="s">
        <v>449</v>
      </c>
    </row>
    <row r="26" spans="1:5">
      <c r="A26" s="11" t="s">
        <v>532</v>
      </c>
      <c r="B26" s="11" t="s">
        <v>533</v>
      </c>
      <c r="C26" s="11" t="s">
        <v>534</v>
      </c>
      <c r="D26" s="11" t="s">
        <v>535</v>
      </c>
      <c r="E26" s="11" t="s">
        <v>449</v>
      </c>
    </row>
    <row r="27" spans="1:5">
      <c r="A27" s="11" t="s">
        <v>536</v>
      </c>
      <c r="B27" s="11" t="s">
        <v>537</v>
      </c>
      <c r="C27" s="11" t="s">
        <v>538</v>
      </c>
      <c r="D27" s="11" t="s">
        <v>539</v>
      </c>
      <c r="E27" s="11" t="s">
        <v>449</v>
      </c>
    </row>
    <row r="28" spans="1:5">
      <c r="A28" s="11" t="s">
        <v>540</v>
      </c>
      <c r="B28" s="11" t="s">
        <v>541</v>
      </c>
      <c r="C28" s="11" t="s">
        <v>542</v>
      </c>
      <c r="D28" s="11" t="s">
        <v>543</v>
      </c>
      <c r="E28" s="11" t="s">
        <v>506</v>
      </c>
    </row>
    <row r="29" spans="1:5">
      <c r="A29" s="11" t="s">
        <v>544</v>
      </c>
      <c r="B29" s="11" t="s">
        <v>545</v>
      </c>
      <c r="C29" s="11" t="s">
        <v>546</v>
      </c>
      <c r="D29" s="11" t="s">
        <v>547</v>
      </c>
      <c r="E29" s="11" t="s">
        <v>449</v>
      </c>
    </row>
    <row r="30" spans="1:5">
      <c r="A30" s="11" t="s">
        <v>548</v>
      </c>
      <c r="B30" s="11" t="s">
        <v>549</v>
      </c>
      <c r="C30" s="11" t="s">
        <v>550</v>
      </c>
      <c r="D30" s="11" t="s">
        <v>551</v>
      </c>
      <c r="E30" s="11" t="s">
        <v>449</v>
      </c>
    </row>
    <row r="31" spans="1:5">
      <c r="A31" s="11" t="s">
        <v>552</v>
      </c>
      <c r="B31" s="11" t="s">
        <v>553</v>
      </c>
      <c r="C31" s="11" t="s">
        <v>554</v>
      </c>
      <c r="D31" s="11" t="s">
        <v>555</v>
      </c>
      <c r="E31" s="11" t="s">
        <v>449</v>
      </c>
    </row>
    <row r="32" spans="1:5">
      <c r="A32" s="11" t="s">
        <v>556</v>
      </c>
      <c r="B32" s="11" t="s">
        <v>557</v>
      </c>
      <c r="C32" s="11" t="s">
        <v>558</v>
      </c>
      <c r="D32" s="11" t="s">
        <v>559</v>
      </c>
      <c r="E32" s="11" t="s">
        <v>449</v>
      </c>
    </row>
    <row r="33" spans="1:5">
      <c r="A33" s="11" t="s">
        <v>560</v>
      </c>
      <c r="B33" s="11" t="s">
        <v>561</v>
      </c>
      <c r="C33" s="11" t="s">
        <v>562</v>
      </c>
      <c r="D33" s="11" t="s">
        <v>563</v>
      </c>
      <c r="E33" s="11" t="s">
        <v>506</v>
      </c>
    </row>
    <row r="34" spans="1:5">
      <c r="A34" s="11" t="s">
        <v>564</v>
      </c>
      <c r="B34" s="11" t="s">
        <v>565</v>
      </c>
      <c r="C34" s="11" t="s">
        <v>566</v>
      </c>
      <c r="D34" s="11" t="s">
        <v>485</v>
      </c>
      <c r="E34" s="11" t="s">
        <v>449</v>
      </c>
    </row>
    <row r="35" spans="1:5">
      <c r="A35" s="11" t="s">
        <v>567</v>
      </c>
      <c r="B35" s="11" t="s">
        <v>568</v>
      </c>
      <c r="C35" s="11" t="s">
        <v>569</v>
      </c>
      <c r="D35" s="11" t="s">
        <v>570</v>
      </c>
      <c r="E35" s="11" t="s">
        <v>449</v>
      </c>
    </row>
    <row r="36" spans="1:5">
      <c r="A36" s="11" t="s">
        <v>571</v>
      </c>
      <c r="B36" s="11" t="s">
        <v>572</v>
      </c>
      <c r="C36" s="11" t="s">
        <v>573</v>
      </c>
      <c r="D36" s="11" t="s">
        <v>574</v>
      </c>
      <c r="E36" s="11" t="s">
        <v>506</v>
      </c>
    </row>
    <row r="37" spans="1:5">
      <c r="A37" s="11" t="s">
        <v>575</v>
      </c>
      <c r="B37" s="11" t="s">
        <v>576</v>
      </c>
      <c r="C37" s="11" t="s">
        <v>577</v>
      </c>
      <c r="D37" s="11" t="s">
        <v>578</v>
      </c>
      <c r="E37" s="11" t="s">
        <v>449</v>
      </c>
    </row>
    <row r="38" spans="1:5">
      <c r="A38" s="11" t="s">
        <v>579</v>
      </c>
      <c r="B38" s="11" t="s">
        <v>580</v>
      </c>
      <c r="C38" s="11" t="s">
        <v>581</v>
      </c>
      <c r="D38" s="11" t="s">
        <v>582</v>
      </c>
      <c r="E38" s="11" t="s">
        <v>449</v>
      </c>
    </row>
    <row r="39" spans="1:5">
      <c r="A39" s="11" t="s">
        <v>583</v>
      </c>
      <c r="B39" s="11" t="s">
        <v>584</v>
      </c>
      <c r="C39" s="11" t="s">
        <v>585</v>
      </c>
      <c r="D39" s="11" t="s">
        <v>586</v>
      </c>
      <c r="E39" s="11" t="s">
        <v>506</v>
      </c>
    </row>
    <row r="40" spans="1:5">
      <c r="A40" s="11" t="s">
        <v>587</v>
      </c>
      <c r="B40" s="11" t="s">
        <v>588</v>
      </c>
      <c r="C40" s="11" t="s">
        <v>589</v>
      </c>
      <c r="D40" s="11" t="s">
        <v>590</v>
      </c>
      <c r="E40" s="11" t="s">
        <v>449</v>
      </c>
    </row>
    <row r="41" spans="1:5">
      <c r="A41" s="11" t="s">
        <v>591</v>
      </c>
      <c r="B41" s="11" t="s">
        <v>592</v>
      </c>
      <c r="C41" s="11" t="s">
        <v>593</v>
      </c>
      <c r="D41" s="11" t="s">
        <v>594</v>
      </c>
      <c r="E41" s="11" t="s">
        <v>449</v>
      </c>
    </row>
    <row r="42" spans="1:5">
      <c r="A42" s="11" t="s">
        <v>595</v>
      </c>
      <c r="B42" s="11" t="s">
        <v>596</v>
      </c>
      <c r="C42" s="11" t="s">
        <v>597</v>
      </c>
      <c r="D42" s="11" t="s">
        <v>598</v>
      </c>
      <c r="E42" s="11" t="s">
        <v>449</v>
      </c>
    </row>
    <row r="43" spans="1:5">
      <c r="A43" s="11" t="s">
        <v>599</v>
      </c>
      <c r="B43" s="11" t="s">
        <v>600</v>
      </c>
      <c r="C43" s="11" t="s">
        <v>601</v>
      </c>
      <c r="D43" s="11" t="s">
        <v>602</v>
      </c>
      <c r="E43" s="11" t="s">
        <v>449</v>
      </c>
    </row>
    <row r="44" spans="1:5">
      <c r="A44" s="11" t="s">
        <v>603</v>
      </c>
      <c r="B44" s="11" t="s">
        <v>604</v>
      </c>
      <c r="C44" s="11" t="s">
        <v>605</v>
      </c>
      <c r="D44" s="11" t="s">
        <v>606</v>
      </c>
      <c r="E44" s="11" t="s">
        <v>449</v>
      </c>
    </row>
    <row r="45" spans="1:5">
      <c r="A45" s="11" t="s">
        <v>607</v>
      </c>
      <c r="B45" s="11" t="s">
        <v>608</v>
      </c>
      <c r="C45" s="11" t="s">
        <v>609</v>
      </c>
      <c r="D45" s="11" t="s">
        <v>610</v>
      </c>
      <c r="E45" s="11" t="s">
        <v>449</v>
      </c>
    </row>
    <row r="46" spans="1:5">
      <c r="A46" s="11" t="s">
        <v>611</v>
      </c>
      <c r="B46" s="11" t="s">
        <v>612</v>
      </c>
      <c r="C46" s="11" t="s">
        <v>613</v>
      </c>
      <c r="D46" s="11" t="s">
        <v>614</v>
      </c>
      <c r="E46" s="11" t="s">
        <v>449</v>
      </c>
    </row>
    <row r="47" spans="1:5">
      <c r="A47" s="11" t="s">
        <v>615</v>
      </c>
      <c r="B47" s="11" t="s">
        <v>616</v>
      </c>
      <c r="C47" s="11" t="s">
        <v>617</v>
      </c>
      <c r="D47" s="11" t="s">
        <v>618</v>
      </c>
      <c r="E47" s="11" t="s">
        <v>449</v>
      </c>
    </row>
    <row r="48" spans="1:5">
      <c r="A48" s="11" t="s">
        <v>619</v>
      </c>
      <c r="B48" s="11" t="s">
        <v>620</v>
      </c>
      <c r="C48" s="11" t="s">
        <v>621</v>
      </c>
      <c r="D48" s="11" t="s">
        <v>622</v>
      </c>
      <c r="E48" s="11" t="s">
        <v>449</v>
      </c>
    </row>
    <row r="49" spans="1:5">
      <c r="A49" s="11" t="s">
        <v>623</v>
      </c>
      <c r="B49" s="11" t="s">
        <v>624</v>
      </c>
      <c r="C49" s="11" t="s">
        <v>625</v>
      </c>
      <c r="D49" s="11" t="s">
        <v>626</v>
      </c>
      <c r="E49" s="11" t="s">
        <v>449</v>
      </c>
    </row>
    <row r="50" spans="1:5">
      <c r="A50" s="11" t="s">
        <v>627</v>
      </c>
      <c r="B50" s="11" t="s">
        <v>628</v>
      </c>
      <c r="C50" s="11" t="s">
        <v>629</v>
      </c>
      <c r="D50" s="11" t="s">
        <v>630</v>
      </c>
      <c r="E50" s="11" t="s">
        <v>506</v>
      </c>
    </row>
    <row r="51" spans="1:5">
      <c r="A51" s="11" t="s">
        <v>631</v>
      </c>
      <c r="B51" s="11" t="s">
        <v>632</v>
      </c>
      <c r="C51" s="11" t="s">
        <v>633</v>
      </c>
      <c r="D51" s="11" t="s">
        <v>634</v>
      </c>
      <c r="E51" s="11" t="s">
        <v>449</v>
      </c>
    </row>
    <row r="52" spans="1:5">
      <c r="A52" s="11" t="s">
        <v>635</v>
      </c>
      <c r="B52" s="11" t="s">
        <v>636</v>
      </c>
      <c r="C52" s="11" t="s">
        <v>637</v>
      </c>
      <c r="D52" s="11" t="s">
        <v>638</v>
      </c>
      <c r="E52" s="11" t="s">
        <v>506</v>
      </c>
    </row>
    <row r="53" spans="1:5">
      <c r="A53" s="11" t="s">
        <v>639</v>
      </c>
      <c r="B53" s="11" t="s">
        <v>640</v>
      </c>
      <c r="C53" s="11" t="s">
        <v>641</v>
      </c>
      <c r="D53" s="11" t="s">
        <v>642</v>
      </c>
      <c r="E53" s="11" t="s">
        <v>449</v>
      </c>
    </row>
    <row r="54" spans="1:5">
      <c r="A54" s="11" t="s">
        <v>643</v>
      </c>
      <c r="B54" s="11" t="s">
        <v>644</v>
      </c>
      <c r="C54" s="11" t="s">
        <v>645</v>
      </c>
      <c r="D54" s="11" t="s">
        <v>646</v>
      </c>
      <c r="E54" s="11" t="s">
        <v>449</v>
      </c>
    </row>
    <row r="55" spans="1:5">
      <c r="A55" s="11" t="s">
        <v>647</v>
      </c>
      <c r="B55" s="11" t="s">
        <v>648</v>
      </c>
      <c r="C55" s="11" t="s">
        <v>649</v>
      </c>
      <c r="D55" s="11" t="s">
        <v>650</v>
      </c>
      <c r="E55" s="11" t="s">
        <v>449</v>
      </c>
    </row>
    <row r="56" spans="1:5">
      <c r="A56" s="11" t="s">
        <v>651</v>
      </c>
      <c r="B56" s="11" t="s">
        <v>652</v>
      </c>
      <c r="C56" s="11" t="s">
        <v>653</v>
      </c>
      <c r="D56" s="11" t="s">
        <v>654</v>
      </c>
      <c r="E56" s="11" t="s">
        <v>449</v>
      </c>
    </row>
    <row r="57" spans="1:5">
      <c r="A57" s="11" t="s">
        <v>655</v>
      </c>
      <c r="B57" s="11" t="s">
        <v>656</v>
      </c>
      <c r="C57" s="11" t="s">
        <v>657</v>
      </c>
      <c r="D57" s="11" t="s">
        <v>658</v>
      </c>
      <c r="E57" s="11" t="s">
        <v>449</v>
      </c>
    </row>
    <row r="58" spans="1:5">
      <c r="A58" s="11" t="s">
        <v>659</v>
      </c>
      <c r="B58" s="11" t="s">
        <v>660</v>
      </c>
      <c r="C58" s="11" t="s">
        <v>661</v>
      </c>
      <c r="D58" s="11" t="s">
        <v>662</v>
      </c>
      <c r="E58" s="11" t="s">
        <v>449</v>
      </c>
    </row>
    <row r="59" spans="1:5">
      <c r="A59" s="11" t="s">
        <v>663</v>
      </c>
      <c r="B59" s="11" t="s">
        <v>664</v>
      </c>
      <c r="C59" s="11" t="s">
        <v>665</v>
      </c>
      <c r="D59" s="11" t="s">
        <v>666</v>
      </c>
      <c r="E59" s="11" t="s">
        <v>449</v>
      </c>
    </row>
    <row r="60" spans="1:5">
      <c r="A60" s="11" t="s">
        <v>667</v>
      </c>
      <c r="B60" s="11" t="s">
        <v>668</v>
      </c>
      <c r="C60" s="11" t="s">
        <v>669</v>
      </c>
      <c r="D60" s="11" t="s">
        <v>670</v>
      </c>
      <c r="E60" s="11" t="s">
        <v>449</v>
      </c>
    </row>
    <row r="61" spans="1:5">
      <c r="A61" s="11" t="s">
        <v>671</v>
      </c>
      <c r="B61" s="11" t="s">
        <v>672</v>
      </c>
      <c r="C61" s="11" t="s">
        <v>673</v>
      </c>
      <c r="D61" s="11" t="s">
        <v>485</v>
      </c>
      <c r="E61" s="11" t="s">
        <v>449</v>
      </c>
    </row>
    <row r="62" spans="1:5">
      <c r="A62" s="11" t="s">
        <v>674</v>
      </c>
      <c r="B62" s="11" t="s">
        <v>675</v>
      </c>
      <c r="C62" s="11" t="s">
        <v>676</v>
      </c>
      <c r="D62" s="11" t="s">
        <v>485</v>
      </c>
      <c r="E62" s="11" t="s">
        <v>449</v>
      </c>
    </row>
    <row r="63" spans="1:5">
      <c r="A63" s="11" t="s">
        <v>677</v>
      </c>
      <c r="B63" s="11" t="s">
        <v>678</v>
      </c>
      <c r="C63" s="11" t="s">
        <v>679</v>
      </c>
      <c r="D63" s="11" t="s">
        <v>680</v>
      </c>
      <c r="E63" s="11" t="s">
        <v>449</v>
      </c>
    </row>
    <row r="64" spans="1:5">
      <c r="A64" s="11" t="s">
        <v>681</v>
      </c>
      <c r="B64" s="11" t="s">
        <v>682</v>
      </c>
      <c r="C64" s="11" t="s">
        <v>683</v>
      </c>
      <c r="D64" s="11" t="s">
        <v>684</v>
      </c>
      <c r="E64" s="11" t="s">
        <v>519</v>
      </c>
    </row>
    <row r="65" spans="1:5">
      <c r="A65" s="11" t="s">
        <v>685</v>
      </c>
      <c r="B65" s="11" t="s">
        <v>686</v>
      </c>
      <c r="C65" s="11" t="s">
        <v>687</v>
      </c>
      <c r="D65" s="11" t="s">
        <v>688</v>
      </c>
      <c r="E65" s="11" t="s">
        <v>449</v>
      </c>
    </row>
    <row r="66" spans="1:5">
      <c r="A66" s="11" t="s">
        <v>689</v>
      </c>
      <c r="B66" s="11" t="s">
        <v>690</v>
      </c>
      <c r="C66" s="11" t="s">
        <v>691</v>
      </c>
      <c r="D66" s="11" t="s">
        <v>692</v>
      </c>
      <c r="E66" s="11" t="s">
        <v>449</v>
      </c>
    </row>
    <row r="67" spans="1:5">
      <c r="A67" s="11" t="s">
        <v>693</v>
      </c>
      <c r="B67" s="11" t="s">
        <v>694</v>
      </c>
      <c r="C67" s="11" t="s">
        <v>695</v>
      </c>
      <c r="D67" s="11" t="s">
        <v>570</v>
      </c>
      <c r="E67" s="11" t="s">
        <v>449</v>
      </c>
    </row>
    <row r="68" spans="1:5">
      <c r="A68" s="11" t="s">
        <v>696</v>
      </c>
      <c r="B68" s="11" t="s">
        <v>697</v>
      </c>
      <c r="C68" s="11" t="s">
        <v>698</v>
      </c>
      <c r="D68" s="11" t="s">
        <v>699</v>
      </c>
      <c r="E68" s="11" t="s">
        <v>449</v>
      </c>
    </row>
    <row r="69" spans="1:5">
      <c r="A69" s="11" t="s">
        <v>700</v>
      </c>
      <c r="B69" s="11" t="s">
        <v>701</v>
      </c>
      <c r="C69" s="11" t="s">
        <v>702</v>
      </c>
      <c r="D69" s="11" t="s">
        <v>626</v>
      </c>
      <c r="E69" s="11" t="s">
        <v>449</v>
      </c>
    </row>
    <row r="70" spans="1:5">
      <c r="A70" s="11" t="s">
        <v>703</v>
      </c>
      <c r="B70" s="11" t="s">
        <v>704</v>
      </c>
      <c r="C70" s="11" t="s">
        <v>705</v>
      </c>
      <c r="D70" s="11" t="s">
        <v>688</v>
      </c>
      <c r="E70" s="11" t="s">
        <v>449</v>
      </c>
    </row>
    <row r="71" spans="1:5">
      <c r="A71" s="11" t="s">
        <v>706</v>
      </c>
      <c r="B71" s="11" t="s">
        <v>707</v>
      </c>
      <c r="C71" s="11" t="s">
        <v>708</v>
      </c>
      <c r="D71" s="11" t="s">
        <v>709</v>
      </c>
      <c r="E71" s="11" t="s">
        <v>449</v>
      </c>
    </row>
    <row r="72" spans="1:5">
      <c r="A72" s="11" t="s">
        <v>710</v>
      </c>
      <c r="B72" s="11" t="s">
        <v>711</v>
      </c>
      <c r="C72" s="11" t="s">
        <v>712</v>
      </c>
      <c r="D72" s="11" t="s">
        <v>713</v>
      </c>
      <c r="E72" s="11" t="s">
        <v>449</v>
      </c>
    </row>
    <row r="73" spans="1:5">
      <c r="A73" s="11" t="s">
        <v>714</v>
      </c>
      <c r="B73" s="11" t="s">
        <v>715</v>
      </c>
      <c r="C73" s="11" t="s">
        <v>716</v>
      </c>
      <c r="D73" s="11" t="s">
        <v>717</v>
      </c>
      <c r="E73" s="11" t="s">
        <v>449</v>
      </c>
    </row>
    <row r="74" spans="1:5">
      <c r="A74" s="11" t="s">
        <v>718</v>
      </c>
      <c r="B74" s="11" t="s">
        <v>719</v>
      </c>
      <c r="C74" s="11" t="s">
        <v>720</v>
      </c>
      <c r="D74" s="11" t="s">
        <v>721</v>
      </c>
      <c r="E74" s="11" t="s">
        <v>449</v>
      </c>
    </row>
  </sheetData>
  <autoFilter xmlns:etc="http://www.wps.cn/officeDocument/2017/etCustomData" ref="A4:E74" etc:filterBottomFollowUsedRange="0">
    <extLst/>
  </autoFilter>
  <mergeCells count="1">
    <mergeCell ref="A1:E1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&amp;C第&amp;P页，总&amp;N页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6" sqref="F6:F10"/>
    </sheetView>
  </sheetViews>
  <sheetFormatPr defaultColWidth="9" defaultRowHeight="13.5" outlineLevelCol="5"/>
  <cols>
    <col min="1" max="1" width="37.625" customWidth="1"/>
    <col min="2" max="2" width="8.875" customWidth="1"/>
    <col min="3" max="3" width="6.875" customWidth="1"/>
    <col min="5" max="5" width="18.125" customWidth="1"/>
    <col min="6" max="6" width="8.875" customWidth="1"/>
  </cols>
  <sheetData>
    <row r="1" ht="27" spans="1:6">
      <c r="A1" s="1" t="s">
        <v>722</v>
      </c>
      <c r="B1" s="1"/>
      <c r="C1" s="1"/>
      <c r="D1" s="1"/>
      <c r="E1" s="1"/>
      <c r="F1" s="1"/>
    </row>
    <row r="2" spans="1:3">
      <c r="A2" s="2"/>
      <c r="B2" s="2"/>
      <c r="C2" s="2"/>
    </row>
    <row r="3" ht="37.5" spans="1:6">
      <c r="A3" s="3" t="s">
        <v>723</v>
      </c>
      <c r="B3" s="3" t="s">
        <v>443</v>
      </c>
      <c r="C3" s="3" t="s">
        <v>724</v>
      </c>
      <c r="D3" s="3" t="s">
        <v>397</v>
      </c>
      <c r="E3" s="3" t="s">
        <v>725</v>
      </c>
      <c r="F3" s="3" t="s">
        <v>726</v>
      </c>
    </row>
    <row r="4" ht="36" customHeight="1" spans="1:6">
      <c r="A4" s="4" t="s">
        <v>727</v>
      </c>
      <c r="B4" s="5">
        <v>88</v>
      </c>
      <c r="C4" s="6" t="s">
        <v>506</v>
      </c>
      <c r="D4" s="7" t="s">
        <v>728</v>
      </c>
      <c r="E4" s="7"/>
      <c r="F4" s="7"/>
    </row>
    <row r="5" ht="36" customHeight="1" spans="1:6">
      <c r="A5" s="4" t="s">
        <v>729</v>
      </c>
      <c r="B5" s="5">
        <v>86.81</v>
      </c>
      <c r="C5" s="6" t="s">
        <v>506</v>
      </c>
      <c r="D5" s="7" t="s">
        <v>728</v>
      </c>
      <c r="E5" s="7"/>
      <c r="F5" s="7"/>
    </row>
    <row r="6" ht="36" customHeight="1" spans="1:6">
      <c r="A6" s="4" t="s">
        <v>730</v>
      </c>
      <c r="B6" s="5">
        <v>92.91</v>
      </c>
      <c r="C6" s="6" t="s">
        <v>449</v>
      </c>
      <c r="D6" s="7" t="s">
        <v>731</v>
      </c>
      <c r="E6" s="8" t="s">
        <v>732</v>
      </c>
      <c r="F6" s="7" t="s">
        <v>360</v>
      </c>
    </row>
    <row r="7" ht="36" customHeight="1" spans="1:6">
      <c r="A7" s="4" t="s">
        <v>733</v>
      </c>
      <c r="B7" s="5">
        <v>88.3</v>
      </c>
      <c r="C7" s="6" t="s">
        <v>506</v>
      </c>
      <c r="D7" s="7" t="s">
        <v>731</v>
      </c>
      <c r="E7" s="8" t="s">
        <v>732</v>
      </c>
      <c r="F7" s="8"/>
    </row>
    <row r="8" ht="36" customHeight="1" spans="1:6">
      <c r="A8" s="4" t="s">
        <v>734</v>
      </c>
      <c r="B8" s="5">
        <v>88</v>
      </c>
      <c r="C8" s="6" t="s">
        <v>506</v>
      </c>
      <c r="D8" s="7" t="s">
        <v>731</v>
      </c>
      <c r="E8" s="8" t="s">
        <v>732</v>
      </c>
      <c r="F8" s="8"/>
    </row>
    <row r="9" ht="36" customHeight="1" spans="1:6">
      <c r="A9" s="4" t="s">
        <v>735</v>
      </c>
      <c r="B9" s="5">
        <v>86.7</v>
      </c>
      <c r="C9" s="6" t="s">
        <v>506</v>
      </c>
      <c r="D9" s="7" t="s">
        <v>731</v>
      </c>
      <c r="E9" s="8" t="s">
        <v>375</v>
      </c>
      <c r="F9" s="7" t="s">
        <v>364</v>
      </c>
    </row>
    <row r="10" ht="36" customHeight="1" spans="1:6">
      <c r="A10" s="4" t="s">
        <v>736</v>
      </c>
      <c r="B10" s="5">
        <v>85.95</v>
      </c>
      <c r="C10" s="6" t="s">
        <v>506</v>
      </c>
      <c r="D10" s="7" t="s">
        <v>731</v>
      </c>
      <c r="E10" s="8" t="s">
        <v>732</v>
      </c>
      <c r="F10" s="7" t="s">
        <v>737</v>
      </c>
    </row>
    <row r="11" ht="36" customHeight="1"/>
  </sheetData>
  <mergeCells count="1">
    <mergeCell ref="A1:F1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workbookViewId="0">
      <pane xSplit="1" ySplit="5" topLeftCell="B18" activePane="bottomRight" state="frozen"/>
      <selection/>
      <selection pane="topRight"/>
      <selection pane="bottomLeft"/>
      <selection pane="bottomRight" activeCell="A2" sqref="A2:M2"/>
    </sheetView>
  </sheetViews>
  <sheetFormatPr defaultColWidth="9" defaultRowHeight="13.5"/>
  <cols>
    <col min="1" max="1" width="46" style="69" customWidth="1"/>
    <col min="2" max="5" width="9.375" style="69" hidden="1" customWidth="1"/>
    <col min="6" max="6" width="9.375" style="69" customWidth="1"/>
    <col min="7" max="7" width="9.375" style="69" hidden="1" customWidth="1"/>
    <col min="8" max="8" width="9.375" style="69" customWidth="1"/>
    <col min="9" max="9" width="9" style="41" customWidth="1"/>
    <col min="10" max="10" width="9" style="41" hidden="1" customWidth="1"/>
    <col min="11" max="12" width="9" style="69" customWidth="1"/>
    <col min="13" max="14" width="9" style="69" hidden="1" customWidth="1"/>
    <col min="15" max="16" width="9" style="69" customWidth="1"/>
    <col min="17" max="16384" width="9" style="69"/>
  </cols>
  <sheetData>
    <row r="1" s="69" customFormat="1" ht="14.25" spans="1:10">
      <c r="A1" s="78" t="s">
        <v>226</v>
      </c>
      <c r="B1" s="79"/>
      <c r="C1" s="79"/>
      <c r="D1" s="79"/>
      <c r="E1" s="79"/>
      <c r="F1" s="79"/>
      <c r="G1" s="79"/>
      <c r="H1" s="79"/>
      <c r="I1" s="41"/>
      <c r="J1" s="41"/>
    </row>
    <row r="2" s="69" customFormat="1" ht="20.25" spans="1:13">
      <c r="A2" s="80" t="s">
        <v>227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="69" customFormat="1" spans="1:10">
      <c r="A3" s="81" t="s">
        <v>2</v>
      </c>
      <c r="B3" s="82"/>
      <c r="C3" s="83"/>
      <c r="D3" s="83"/>
      <c r="E3" s="81"/>
      <c r="F3" s="81"/>
      <c r="G3" s="83"/>
      <c r="H3" s="84" t="s">
        <v>3</v>
      </c>
      <c r="I3" s="84"/>
      <c r="J3" s="41"/>
    </row>
    <row r="4" s="69" customFormat="1" spans="1:13">
      <c r="A4" s="42" t="s">
        <v>228</v>
      </c>
      <c r="B4" s="43" t="s">
        <v>5</v>
      </c>
      <c r="C4" s="44"/>
      <c r="D4" s="43" t="s">
        <v>6</v>
      </c>
      <c r="E4" s="44"/>
      <c r="F4" s="45" t="s">
        <v>7</v>
      </c>
      <c r="G4" s="45"/>
      <c r="H4" s="45"/>
      <c r="I4" s="45"/>
      <c r="J4" s="45"/>
      <c r="K4" s="45"/>
      <c r="L4" s="45"/>
      <c r="M4" s="45"/>
    </row>
    <row r="5" s="69" customFormat="1" ht="38" customHeight="1" spans="1:13">
      <c r="A5" s="42"/>
      <c r="B5" s="45" t="s">
        <v>8</v>
      </c>
      <c r="C5" s="45" t="s">
        <v>9</v>
      </c>
      <c r="D5" s="45" t="s">
        <v>8</v>
      </c>
      <c r="E5" s="45" t="s">
        <v>9</v>
      </c>
      <c r="F5" s="45" t="s">
        <v>8</v>
      </c>
      <c r="G5" s="45" t="s">
        <v>10</v>
      </c>
      <c r="H5" s="45" t="s">
        <v>11</v>
      </c>
      <c r="I5" s="45" t="s">
        <v>12</v>
      </c>
      <c r="J5" s="45" t="s">
        <v>13</v>
      </c>
      <c r="K5" s="45" t="s">
        <v>14</v>
      </c>
      <c r="L5" s="45" t="s">
        <v>15</v>
      </c>
      <c r="M5" s="45" t="s">
        <v>16</v>
      </c>
    </row>
    <row r="6" s="69" customFormat="1" ht="21" customHeight="1" spans="1:13">
      <c r="A6" s="42" t="s">
        <v>229</v>
      </c>
      <c r="B6" s="85">
        <f t="shared" ref="B6:H6" si="0">+B7+B16+B17+B18+B19</f>
        <v>89212</v>
      </c>
      <c r="C6" s="85">
        <f t="shared" si="0"/>
        <v>43411</v>
      </c>
      <c r="D6" s="85">
        <f t="shared" si="0"/>
        <v>61088</v>
      </c>
      <c r="E6" s="85">
        <f t="shared" si="0"/>
        <v>103111</v>
      </c>
      <c r="F6" s="85">
        <f t="shared" si="0"/>
        <v>73733</v>
      </c>
      <c r="G6" s="85">
        <f t="shared" si="0"/>
        <v>98751</v>
      </c>
      <c r="H6" s="85">
        <f t="shared" si="0"/>
        <v>98948</v>
      </c>
      <c r="I6" s="92">
        <f t="shared" ref="I6:I13" si="1">ROUND(H6/F6*100,2)</f>
        <v>134.2</v>
      </c>
      <c r="J6" s="92">
        <f t="shared" ref="J6:J13" si="2">ROUND(H6/G6*100,2)</f>
        <v>100.2</v>
      </c>
      <c r="K6" s="93">
        <f t="shared" ref="K6:K13" si="3">H6-E6</f>
        <v>-4163</v>
      </c>
      <c r="L6" s="92">
        <f t="shared" ref="L6:L13" si="4">ROUND(K6/E6*100,2)</f>
        <v>-4.04</v>
      </c>
      <c r="M6" s="77"/>
    </row>
    <row r="7" s="69" customFormat="1" ht="21" customHeight="1" spans="1:13">
      <c r="A7" s="86" t="s">
        <v>230</v>
      </c>
      <c r="B7" s="85">
        <f t="shared" ref="B7:H7" si="5">SUM(B8:B15)</f>
        <v>81700</v>
      </c>
      <c r="C7" s="85">
        <f t="shared" si="5"/>
        <v>19293</v>
      </c>
      <c r="D7" s="85">
        <f t="shared" si="5"/>
        <v>46500</v>
      </c>
      <c r="E7" s="85">
        <f t="shared" si="5"/>
        <v>14525</v>
      </c>
      <c r="F7" s="85">
        <f t="shared" si="5"/>
        <v>28500</v>
      </c>
      <c r="G7" s="85">
        <f t="shared" si="5"/>
        <v>10860</v>
      </c>
      <c r="H7" s="85">
        <f t="shared" si="5"/>
        <v>11057</v>
      </c>
      <c r="I7" s="92">
        <f t="shared" si="1"/>
        <v>38.8</v>
      </c>
      <c r="J7" s="92">
        <f t="shared" si="2"/>
        <v>101.81</v>
      </c>
      <c r="K7" s="93">
        <f t="shared" si="3"/>
        <v>-3468</v>
      </c>
      <c r="L7" s="92">
        <f t="shared" si="4"/>
        <v>-23.88</v>
      </c>
      <c r="M7" s="77"/>
    </row>
    <row r="8" s="69" customFormat="1" ht="21" customHeight="1" spans="1:13">
      <c r="A8" s="87" t="s">
        <v>231</v>
      </c>
      <c r="B8" s="88"/>
      <c r="C8" s="88"/>
      <c r="D8" s="89"/>
      <c r="E8" s="88"/>
      <c r="F8" s="88"/>
      <c r="G8" s="88"/>
      <c r="H8" s="88"/>
      <c r="I8" s="94"/>
      <c r="J8" s="94"/>
      <c r="K8" s="77"/>
      <c r="L8" s="77"/>
      <c r="M8" s="77"/>
    </row>
    <row r="9" s="69" customFormat="1" ht="21" customHeight="1" spans="1:13">
      <c r="A9" s="62" t="s">
        <v>232</v>
      </c>
      <c r="B9" s="88"/>
      <c r="C9" s="88"/>
      <c r="D9" s="89"/>
      <c r="E9" s="88"/>
      <c r="F9" s="88"/>
      <c r="G9" s="88"/>
      <c r="H9" s="88"/>
      <c r="I9" s="94"/>
      <c r="J9" s="94"/>
      <c r="K9" s="77"/>
      <c r="L9" s="77"/>
      <c r="M9" s="77"/>
    </row>
    <row r="10" s="69" customFormat="1" ht="21" customHeight="1" spans="1:13">
      <c r="A10" s="62" t="s">
        <v>233</v>
      </c>
      <c r="B10" s="88"/>
      <c r="C10" s="88"/>
      <c r="D10" s="89"/>
      <c r="E10" s="88"/>
      <c r="F10" s="88"/>
      <c r="G10" s="88"/>
      <c r="H10" s="88"/>
      <c r="I10" s="94"/>
      <c r="J10" s="94"/>
      <c r="K10" s="77"/>
      <c r="L10" s="77"/>
      <c r="M10" s="77"/>
    </row>
    <row r="11" s="69" customFormat="1" ht="21" customHeight="1" spans="1:13">
      <c r="A11" s="62" t="s">
        <v>234</v>
      </c>
      <c r="B11" s="88">
        <v>80100</v>
      </c>
      <c r="C11" s="88">
        <f>15145+(16987-15145)</f>
        <v>16987</v>
      </c>
      <c r="D11" s="89">
        <f>30000+15000</f>
        <v>45000</v>
      </c>
      <c r="E11" s="88">
        <v>12355</v>
      </c>
      <c r="F11" s="88">
        <v>27000</v>
      </c>
      <c r="G11" s="88">
        <v>9000</v>
      </c>
      <c r="H11" s="88">
        <v>8740</v>
      </c>
      <c r="I11" s="75">
        <f t="shared" si="1"/>
        <v>32.37</v>
      </c>
      <c r="J11" s="75">
        <f t="shared" si="2"/>
        <v>97.11</v>
      </c>
      <c r="K11" s="76">
        <f t="shared" si="3"/>
        <v>-3615</v>
      </c>
      <c r="L11" s="75">
        <f t="shared" si="4"/>
        <v>-29.26</v>
      </c>
      <c r="M11" s="77"/>
    </row>
    <row r="12" s="69" customFormat="1" ht="21" customHeight="1" spans="1:13">
      <c r="A12" s="62" t="s">
        <v>235</v>
      </c>
      <c r="B12" s="88">
        <v>600</v>
      </c>
      <c r="C12" s="88">
        <v>183</v>
      </c>
      <c r="D12" s="89">
        <v>600</v>
      </c>
      <c r="E12" s="88">
        <v>503</v>
      </c>
      <c r="F12" s="88">
        <v>500</v>
      </c>
      <c r="G12" s="88">
        <v>500</v>
      </c>
      <c r="H12" s="88">
        <v>694</v>
      </c>
      <c r="I12" s="75">
        <f t="shared" si="1"/>
        <v>138.8</v>
      </c>
      <c r="J12" s="75">
        <f t="shared" si="2"/>
        <v>138.8</v>
      </c>
      <c r="K12" s="76">
        <f t="shared" si="3"/>
        <v>191</v>
      </c>
      <c r="L12" s="75">
        <f t="shared" si="4"/>
        <v>37.97</v>
      </c>
      <c r="M12" s="77"/>
    </row>
    <row r="13" s="69" customFormat="1" ht="21" customHeight="1" spans="1:13">
      <c r="A13" s="62" t="s">
        <v>236</v>
      </c>
      <c r="B13" s="88">
        <v>1000</v>
      </c>
      <c r="C13" s="88">
        <v>863</v>
      </c>
      <c r="D13" s="89">
        <v>900</v>
      </c>
      <c r="E13" s="88">
        <v>1192</v>
      </c>
      <c r="F13" s="88">
        <v>1000</v>
      </c>
      <c r="G13" s="88">
        <v>1000</v>
      </c>
      <c r="H13" s="88">
        <v>1049</v>
      </c>
      <c r="I13" s="75">
        <f t="shared" si="1"/>
        <v>104.9</v>
      </c>
      <c r="J13" s="75">
        <f t="shared" si="2"/>
        <v>104.9</v>
      </c>
      <c r="K13" s="76">
        <f t="shared" si="3"/>
        <v>-143</v>
      </c>
      <c r="L13" s="75">
        <f t="shared" si="4"/>
        <v>-12</v>
      </c>
      <c r="M13" s="77"/>
    </row>
    <row r="14" s="69" customFormat="1" ht="21" customHeight="1" spans="1:13">
      <c r="A14" s="62" t="s">
        <v>237</v>
      </c>
      <c r="B14" s="88"/>
      <c r="C14" s="88">
        <v>617</v>
      </c>
      <c r="D14" s="89"/>
      <c r="E14" s="88"/>
      <c r="F14" s="88"/>
      <c r="G14" s="88"/>
      <c r="H14" s="88"/>
      <c r="I14" s="94"/>
      <c r="J14" s="94"/>
      <c r="K14" s="77"/>
      <c r="L14" s="77"/>
      <c r="M14" s="77"/>
    </row>
    <row r="15" s="69" customFormat="1" ht="21" customHeight="1" spans="1:13">
      <c r="A15" s="62" t="s">
        <v>238</v>
      </c>
      <c r="B15" s="88"/>
      <c r="C15" s="88">
        <v>643</v>
      </c>
      <c r="D15" s="89"/>
      <c r="E15" s="88">
        <v>475</v>
      </c>
      <c r="F15" s="88"/>
      <c r="G15" s="88">
        <v>360</v>
      </c>
      <c r="H15" s="88">
        <v>574</v>
      </c>
      <c r="I15" s="75"/>
      <c r="J15" s="75">
        <f t="shared" ref="J15:J21" si="6">ROUND(H15/G15*100,2)</f>
        <v>159.44</v>
      </c>
      <c r="K15" s="76">
        <f t="shared" ref="K15:K21" si="7">H15-E15</f>
        <v>99</v>
      </c>
      <c r="L15" s="75">
        <f t="shared" ref="L15:L21" si="8">ROUND(K15/E15*100,2)</f>
        <v>20.84</v>
      </c>
      <c r="M15" s="77"/>
    </row>
    <row r="16" s="69" customFormat="1" ht="21" customHeight="1" spans="1:13">
      <c r="A16" s="74" t="s">
        <v>239</v>
      </c>
      <c r="B16" s="88">
        <v>1579</v>
      </c>
      <c r="C16" s="88">
        <f>5897</f>
        <v>5897</v>
      </c>
      <c r="D16" s="89">
        <v>1573</v>
      </c>
      <c r="E16" s="88">
        <v>4196</v>
      </c>
      <c r="F16" s="88">
        <v>1332</v>
      </c>
      <c r="G16" s="88">
        <v>4324</v>
      </c>
      <c r="H16" s="88">
        <v>4324</v>
      </c>
      <c r="I16" s="75">
        <f t="shared" ref="I15:I21" si="9">ROUND(H16/F16*100,2)</f>
        <v>324.62</v>
      </c>
      <c r="J16" s="75">
        <f t="shared" si="6"/>
        <v>100</v>
      </c>
      <c r="K16" s="76">
        <f t="shared" si="7"/>
        <v>128</v>
      </c>
      <c r="L16" s="75">
        <f t="shared" si="8"/>
        <v>3.05</v>
      </c>
      <c r="M16" s="77"/>
    </row>
    <row r="17" s="69" customFormat="1" ht="21" customHeight="1" spans="1:13">
      <c r="A17" s="74" t="s">
        <v>240</v>
      </c>
      <c r="B17" s="89"/>
      <c r="C17" s="88"/>
      <c r="D17" s="89"/>
      <c r="E17" s="88"/>
      <c r="F17" s="88"/>
      <c r="G17" s="88">
        <v>2188</v>
      </c>
      <c r="H17" s="88">
        <v>2188</v>
      </c>
      <c r="I17" s="75"/>
      <c r="J17" s="75">
        <f t="shared" si="6"/>
        <v>100</v>
      </c>
      <c r="K17" s="76">
        <f t="shared" si="7"/>
        <v>2188</v>
      </c>
      <c r="L17" s="75"/>
      <c r="M17" s="77"/>
    </row>
    <row r="18" s="69" customFormat="1" ht="21" customHeight="1" spans="1:13">
      <c r="A18" s="74" t="s">
        <v>241</v>
      </c>
      <c r="B18" s="88">
        <f>SUM(B32)</f>
        <v>5933</v>
      </c>
      <c r="C18" s="88">
        <v>8521</v>
      </c>
      <c r="D18" s="88">
        <v>5115</v>
      </c>
      <c r="E18" s="88">
        <v>7160</v>
      </c>
      <c r="F18" s="88">
        <v>39401</v>
      </c>
      <c r="G18" s="88">
        <v>39401</v>
      </c>
      <c r="H18" s="88">
        <v>39401</v>
      </c>
      <c r="I18" s="75">
        <f t="shared" si="9"/>
        <v>100</v>
      </c>
      <c r="J18" s="75">
        <f t="shared" si="6"/>
        <v>100</v>
      </c>
      <c r="K18" s="76">
        <f t="shared" si="7"/>
        <v>32241</v>
      </c>
      <c r="L18" s="75">
        <f t="shared" si="8"/>
        <v>450.29</v>
      </c>
      <c r="M18" s="77"/>
    </row>
    <row r="19" s="69" customFormat="1" ht="24" customHeight="1" spans="1:13">
      <c r="A19" s="74" t="s">
        <v>242</v>
      </c>
      <c r="B19" s="89"/>
      <c r="C19" s="88">
        <v>9700</v>
      </c>
      <c r="D19" s="89">
        <f>5000+2900</f>
        <v>7900</v>
      </c>
      <c r="E19" s="88">
        <f>7900+13000+56330</f>
        <v>77230</v>
      </c>
      <c r="F19" s="88">
        <v>4500</v>
      </c>
      <c r="G19" s="88">
        <f>4500+4125+5000+(24222+3297)+9296+1000-9462</f>
        <v>41978</v>
      </c>
      <c r="H19" s="88">
        <f>4500+4125+5000+(24222+3297)+9296+1000-9462</f>
        <v>41978</v>
      </c>
      <c r="I19" s="75">
        <f t="shared" si="9"/>
        <v>932.84</v>
      </c>
      <c r="J19" s="75">
        <f t="shared" si="6"/>
        <v>100</v>
      </c>
      <c r="K19" s="76">
        <f t="shared" si="7"/>
        <v>-35252</v>
      </c>
      <c r="L19" s="75">
        <f t="shared" si="8"/>
        <v>-45.65</v>
      </c>
      <c r="M19" s="77"/>
    </row>
    <row r="20" s="69" customFormat="1" ht="18" customHeight="1" spans="1:13">
      <c r="A20" s="42" t="s">
        <v>243</v>
      </c>
      <c r="B20" s="85">
        <f t="shared" ref="B20:H20" si="10">+B21+B33+B34+B35+B36+B37+B38</f>
        <v>89212</v>
      </c>
      <c r="C20" s="85">
        <f t="shared" si="10"/>
        <v>43411</v>
      </c>
      <c r="D20" s="85">
        <f t="shared" si="10"/>
        <v>61088</v>
      </c>
      <c r="E20" s="85">
        <f t="shared" si="10"/>
        <v>103111</v>
      </c>
      <c r="F20" s="85">
        <f t="shared" si="10"/>
        <v>73733</v>
      </c>
      <c r="G20" s="85">
        <f t="shared" si="10"/>
        <v>98751</v>
      </c>
      <c r="H20" s="85">
        <f t="shared" si="10"/>
        <v>98948</v>
      </c>
      <c r="I20" s="92">
        <f t="shared" si="9"/>
        <v>134.2</v>
      </c>
      <c r="J20" s="92">
        <f t="shared" si="6"/>
        <v>100.2</v>
      </c>
      <c r="K20" s="93">
        <f t="shared" si="7"/>
        <v>-4163</v>
      </c>
      <c r="L20" s="92">
        <f t="shared" si="8"/>
        <v>-4.04</v>
      </c>
      <c r="M20" s="85">
        <f>+M21+M33+M34+M35+M36+M37+M38</f>
        <v>21313</v>
      </c>
    </row>
    <row r="21" s="69" customFormat="1" ht="18" customHeight="1" spans="1:13">
      <c r="A21" s="86" t="s">
        <v>244</v>
      </c>
      <c r="B21" s="85">
        <f t="shared" ref="B21:H21" si="11">SUM(B22:B32)</f>
        <v>54440</v>
      </c>
      <c r="C21" s="85">
        <f t="shared" si="11"/>
        <v>29743</v>
      </c>
      <c r="D21" s="85">
        <f t="shared" si="11"/>
        <v>48152</v>
      </c>
      <c r="E21" s="85">
        <f t="shared" si="11"/>
        <v>49712</v>
      </c>
      <c r="F21" s="85">
        <f t="shared" si="11"/>
        <v>68733</v>
      </c>
      <c r="G21" s="85">
        <f t="shared" si="11"/>
        <v>81486</v>
      </c>
      <c r="H21" s="85">
        <f t="shared" si="11"/>
        <v>60173</v>
      </c>
      <c r="I21" s="92">
        <f t="shared" si="9"/>
        <v>87.55</v>
      </c>
      <c r="J21" s="92">
        <f t="shared" si="6"/>
        <v>73.84</v>
      </c>
      <c r="K21" s="93">
        <f t="shared" si="7"/>
        <v>10461</v>
      </c>
      <c r="L21" s="92">
        <f t="shared" si="8"/>
        <v>21.04</v>
      </c>
      <c r="M21" s="85">
        <f>SUM(M22:M32)</f>
        <v>21313</v>
      </c>
    </row>
    <row r="22" s="69" customFormat="1" ht="18" customHeight="1" spans="1:14">
      <c r="A22" s="90" t="s">
        <v>245</v>
      </c>
      <c r="B22" s="88"/>
      <c r="C22" s="88">
        <v>6</v>
      </c>
      <c r="D22" s="89">
        <v>11</v>
      </c>
      <c r="E22" s="88"/>
      <c r="F22" s="89">
        <v>10</v>
      </c>
      <c r="G22" s="89">
        <v>-17</v>
      </c>
      <c r="H22" s="89">
        <v>-47</v>
      </c>
      <c r="I22" s="75">
        <f t="shared" ref="I22:I25" si="12">ROUND(H22/F22*100,2)</f>
        <v>-470</v>
      </c>
      <c r="J22" s="75">
        <f t="shared" ref="J22:J25" si="13">ROUND(H22/G22*100,2)</f>
        <v>276.47</v>
      </c>
      <c r="K22" s="76">
        <f t="shared" ref="K22:K25" si="14">H22-E22</f>
        <v>-47</v>
      </c>
      <c r="L22" s="75"/>
      <c r="M22" s="88">
        <v>30</v>
      </c>
      <c r="N22" s="41">
        <f t="shared" ref="N22:N25" si="15">G22-H22</f>
        <v>30</v>
      </c>
    </row>
    <row r="23" s="69" customFormat="1" ht="18" customHeight="1" spans="1:13">
      <c r="A23" s="90" t="s">
        <v>246</v>
      </c>
      <c r="B23" s="88"/>
      <c r="C23" s="88">
        <v>738</v>
      </c>
      <c r="D23" s="89">
        <v>3022</v>
      </c>
      <c r="E23" s="88">
        <v>888</v>
      </c>
      <c r="F23" s="89"/>
      <c r="G23" s="89"/>
      <c r="H23" s="89"/>
      <c r="I23" s="94"/>
      <c r="J23" s="94"/>
      <c r="K23" s="77"/>
      <c r="L23" s="77"/>
      <c r="M23" s="88"/>
    </row>
    <row r="24" s="69" customFormat="1" ht="18" customHeight="1" spans="1:14">
      <c r="A24" s="90" t="s">
        <v>247</v>
      </c>
      <c r="B24" s="88">
        <v>46928</v>
      </c>
      <c r="C24" s="88">
        <f>18881+2049</f>
        <v>20930</v>
      </c>
      <c r="D24" s="89">
        <v>41009</v>
      </c>
      <c r="E24" s="88">
        <v>40265</v>
      </c>
      <c r="F24" s="89">
        <v>50569</v>
      </c>
      <c r="G24" s="89">
        <v>54678</v>
      </c>
      <c r="H24" s="89">
        <f>52031+1</f>
        <v>52032</v>
      </c>
      <c r="I24" s="75">
        <f t="shared" si="12"/>
        <v>102.89</v>
      </c>
      <c r="J24" s="75">
        <f t="shared" si="13"/>
        <v>95.16</v>
      </c>
      <c r="K24" s="76">
        <f t="shared" si="14"/>
        <v>11767</v>
      </c>
      <c r="L24" s="75">
        <f t="shared" ref="L22:L25" si="16">ROUND(K24/E24*100,2)</f>
        <v>29.22</v>
      </c>
      <c r="M24" s="88">
        <v>2646</v>
      </c>
      <c r="N24" s="41">
        <f t="shared" si="15"/>
        <v>2646</v>
      </c>
    </row>
    <row r="25" s="69" customFormat="1" ht="18" customHeight="1" spans="1:14">
      <c r="A25" s="90" t="s">
        <v>248</v>
      </c>
      <c r="B25" s="88">
        <v>1579</v>
      </c>
      <c r="C25" s="88">
        <v>15</v>
      </c>
      <c r="D25" s="89">
        <v>931</v>
      </c>
      <c r="E25" s="88">
        <v>111</v>
      </c>
      <c r="F25" s="89">
        <f>1171+399</f>
        <v>1570</v>
      </c>
      <c r="G25" s="89">
        <v>5736</v>
      </c>
      <c r="H25" s="89">
        <v>1122</v>
      </c>
      <c r="I25" s="75">
        <f t="shared" si="12"/>
        <v>71.46</v>
      </c>
      <c r="J25" s="75">
        <f t="shared" si="13"/>
        <v>19.56</v>
      </c>
      <c r="K25" s="76">
        <f t="shared" si="14"/>
        <v>1011</v>
      </c>
      <c r="L25" s="75">
        <f t="shared" si="16"/>
        <v>910.81</v>
      </c>
      <c r="M25" s="88">
        <f>2390+612+1566+46</f>
        <v>4614</v>
      </c>
      <c r="N25" s="41">
        <f t="shared" si="15"/>
        <v>4614</v>
      </c>
    </row>
    <row r="26" s="69" customFormat="1" ht="18" customHeight="1" spans="1:13">
      <c r="A26" s="90" t="s">
        <v>249</v>
      </c>
      <c r="B26" s="88"/>
      <c r="C26" s="88"/>
      <c r="D26" s="89"/>
      <c r="E26" s="88"/>
      <c r="F26" s="89"/>
      <c r="G26" s="89"/>
      <c r="H26" s="89"/>
      <c r="I26" s="94"/>
      <c r="J26" s="94"/>
      <c r="K26" s="77"/>
      <c r="L26" s="77"/>
      <c r="M26" s="88"/>
    </row>
    <row r="27" s="69" customFormat="1" ht="18" customHeight="1" spans="1:14">
      <c r="A27" s="90" t="s">
        <v>250</v>
      </c>
      <c r="B27" s="88"/>
      <c r="C27" s="88"/>
      <c r="D27" s="89"/>
      <c r="E27" s="88"/>
      <c r="F27" s="89"/>
      <c r="G27" s="89">
        <v>710</v>
      </c>
      <c r="H27" s="89">
        <v>45</v>
      </c>
      <c r="I27" s="75"/>
      <c r="J27" s="75">
        <f t="shared" ref="J27:J30" si="17">ROUND(H27/G27*100,2)</f>
        <v>6.34</v>
      </c>
      <c r="K27" s="76">
        <f t="shared" ref="K27:K30" si="18">H27-E27</f>
        <v>45</v>
      </c>
      <c r="L27" s="75"/>
      <c r="M27" s="88">
        <f>665</f>
        <v>665</v>
      </c>
      <c r="N27" s="41">
        <f t="shared" ref="N27:N30" si="19">G27-H27</f>
        <v>665</v>
      </c>
    </row>
    <row r="28" s="69" customFormat="1" ht="18" customHeight="1" spans="1:14">
      <c r="A28" s="90" t="s">
        <v>251</v>
      </c>
      <c r="B28" s="88"/>
      <c r="C28" s="88">
        <v>5656</v>
      </c>
      <c r="D28" s="89">
        <v>1255</v>
      </c>
      <c r="E28" s="88">
        <v>5856</v>
      </c>
      <c r="F28" s="89">
        <v>13919</v>
      </c>
      <c r="G28" s="89">
        <v>16024</v>
      </c>
      <c r="H28" s="89">
        <f>2667-1</f>
        <v>2666</v>
      </c>
      <c r="I28" s="75">
        <f t="shared" ref="I27:I30" si="20">ROUND(H28/F28*100,2)</f>
        <v>19.15</v>
      </c>
      <c r="J28" s="75">
        <f t="shared" si="17"/>
        <v>16.64</v>
      </c>
      <c r="K28" s="76">
        <f t="shared" si="18"/>
        <v>-3190</v>
      </c>
      <c r="L28" s="75">
        <f t="shared" ref="L27:L30" si="21">ROUND(K28/E28*100,2)</f>
        <v>-54.47</v>
      </c>
      <c r="M28" s="88">
        <f>599+2387+11037-665</f>
        <v>13358</v>
      </c>
      <c r="N28" s="41">
        <f t="shared" si="19"/>
        <v>13358</v>
      </c>
    </row>
    <row r="29" s="69" customFormat="1" ht="18" customHeight="1" spans="1:14">
      <c r="A29" s="90" t="s">
        <v>252</v>
      </c>
      <c r="B29" s="88"/>
      <c r="C29" s="88">
        <v>2386</v>
      </c>
      <c r="D29" s="89">
        <v>1924</v>
      </c>
      <c r="E29" s="88">
        <v>2510</v>
      </c>
      <c r="F29" s="89">
        <v>2665</v>
      </c>
      <c r="G29" s="89">
        <v>4301</v>
      </c>
      <c r="H29" s="89">
        <v>4301</v>
      </c>
      <c r="I29" s="75">
        <f t="shared" si="20"/>
        <v>161.39</v>
      </c>
      <c r="J29" s="75">
        <f t="shared" si="17"/>
        <v>100</v>
      </c>
      <c r="K29" s="76">
        <f t="shared" si="18"/>
        <v>1791</v>
      </c>
      <c r="L29" s="75">
        <f t="shared" si="21"/>
        <v>71.35</v>
      </c>
      <c r="M29" s="88"/>
      <c r="N29" s="41">
        <f t="shared" si="19"/>
        <v>0</v>
      </c>
    </row>
    <row r="30" s="69" customFormat="1" ht="18" customHeight="1" spans="1:14">
      <c r="A30" s="90" t="s">
        <v>253</v>
      </c>
      <c r="B30" s="88"/>
      <c r="C30" s="88">
        <v>12</v>
      </c>
      <c r="D30" s="89"/>
      <c r="E30" s="88">
        <v>82</v>
      </c>
      <c r="F30" s="89"/>
      <c r="G30" s="89">
        <v>54</v>
      </c>
      <c r="H30" s="89">
        <f>53+1</f>
        <v>54</v>
      </c>
      <c r="I30" s="75"/>
      <c r="J30" s="75">
        <f t="shared" si="17"/>
        <v>100</v>
      </c>
      <c r="K30" s="76">
        <f t="shared" si="18"/>
        <v>-28</v>
      </c>
      <c r="L30" s="75">
        <f t="shared" si="21"/>
        <v>-34.15</v>
      </c>
      <c r="M30" s="88"/>
      <c r="N30" s="41">
        <f t="shared" si="19"/>
        <v>0</v>
      </c>
    </row>
    <row r="31" s="69" customFormat="1" ht="18" customHeight="1" spans="1:13">
      <c r="A31" s="90" t="s">
        <v>254</v>
      </c>
      <c r="B31" s="88"/>
      <c r="C31" s="88"/>
      <c r="D31" s="89"/>
      <c r="E31" s="88"/>
      <c r="F31" s="89"/>
      <c r="G31" s="89"/>
      <c r="H31" s="89"/>
      <c r="I31" s="94"/>
      <c r="J31" s="94"/>
      <c r="K31" s="77"/>
      <c r="L31" s="77"/>
      <c r="M31" s="88"/>
    </row>
    <row r="32" s="69" customFormat="1" ht="18" customHeight="1" spans="1:13">
      <c r="A32" s="90" t="s">
        <v>255</v>
      </c>
      <c r="B32" s="88">
        <v>5933</v>
      </c>
      <c r="C32" s="88"/>
      <c r="D32" s="89"/>
      <c r="E32" s="88"/>
      <c r="F32" s="89"/>
      <c r="G32" s="89"/>
      <c r="H32" s="89"/>
      <c r="I32" s="94"/>
      <c r="J32" s="94"/>
      <c r="K32" s="77"/>
      <c r="L32" s="77"/>
      <c r="M32" s="88"/>
    </row>
    <row r="33" s="69" customFormat="1" ht="18" customHeight="1" spans="1:13">
      <c r="A33" s="74" t="s">
        <v>256</v>
      </c>
      <c r="B33" s="88"/>
      <c r="C33" s="88"/>
      <c r="D33" s="89"/>
      <c r="E33" s="88"/>
      <c r="F33" s="89"/>
      <c r="G33" s="89"/>
      <c r="H33" s="89"/>
      <c r="I33" s="94"/>
      <c r="J33" s="94"/>
      <c r="K33" s="77"/>
      <c r="L33" s="77"/>
      <c r="M33" s="77"/>
    </row>
    <row r="34" s="69" customFormat="1" ht="18" customHeight="1" spans="1:13">
      <c r="A34" s="74" t="s">
        <v>257</v>
      </c>
      <c r="B34" s="88">
        <v>34772</v>
      </c>
      <c r="C34" s="88">
        <v>3637</v>
      </c>
      <c r="D34" s="89"/>
      <c r="E34" s="88">
        <v>1062</v>
      </c>
      <c r="F34" s="89"/>
      <c r="G34" s="89">
        <f>2708-197</f>
        <v>2511</v>
      </c>
      <c r="H34" s="89">
        <v>2708</v>
      </c>
      <c r="I34" s="75"/>
      <c r="J34" s="75">
        <f t="shared" ref="J34:J38" si="22">ROUND(H34/G34*100,2)</f>
        <v>107.85</v>
      </c>
      <c r="K34" s="76">
        <f t="shared" ref="K34:K38" si="23">H34-E34</f>
        <v>1646</v>
      </c>
      <c r="L34" s="75">
        <f t="shared" ref="L34:L38" si="24">ROUND(K34/E34*100,2)</f>
        <v>154.99</v>
      </c>
      <c r="M34" s="77"/>
    </row>
    <row r="35" s="69" customFormat="1" ht="18" customHeight="1" spans="1:13">
      <c r="A35" s="74" t="s">
        <v>258</v>
      </c>
      <c r="B35" s="89"/>
      <c r="C35" s="88">
        <v>4916</v>
      </c>
      <c r="D35" s="89">
        <f>10000+2936</f>
        <v>12936</v>
      </c>
      <c r="E35" s="88">
        <f>7900+36+5000</f>
        <v>12936</v>
      </c>
      <c r="F35" s="89">
        <v>5000</v>
      </c>
      <c r="G35" s="89">
        <f>4500+500+9296</f>
        <v>14296</v>
      </c>
      <c r="H35" s="89">
        <f>4500+500+9296</f>
        <v>14296</v>
      </c>
      <c r="I35" s="75">
        <f>ROUND(H35/F35*100,2)</f>
        <v>285.92</v>
      </c>
      <c r="J35" s="75">
        <f t="shared" si="22"/>
        <v>100</v>
      </c>
      <c r="K35" s="76">
        <f t="shared" si="23"/>
        <v>1360</v>
      </c>
      <c r="L35" s="75">
        <f t="shared" si="24"/>
        <v>10.51</v>
      </c>
      <c r="M35" s="77"/>
    </row>
    <row r="36" s="69" customFormat="1" ht="18" customHeight="1" spans="1:13">
      <c r="A36" s="74" t="s">
        <v>259</v>
      </c>
      <c r="B36" s="89"/>
      <c r="C36" s="88"/>
      <c r="D36" s="89"/>
      <c r="E36" s="88"/>
      <c r="F36" s="89"/>
      <c r="G36" s="89"/>
      <c r="H36" s="89"/>
      <c r="I36" s="94"/>
      <c r="J36" s="94"/>
      <c r="K36" s="77"/>
      <c r="L36" s="77"/>
      <c r="M36" s="77"/>
    </row>
    <row r="37" s="69" customFormat="1" ht="18" customHeight="1" spans="1:13">
      <c r="A37" s="74" t="s">
        <v>260</v>
      </c>
      <c r="B37" s="89"/>
      <c r="C37" s="88"/>
      <c r="D37" s="89"/>
      <c r="E37" s="88"/>
      <c r="F37" s="89"/>
      <c r="G37" s="89">
        <v>458</v>
      </c>
      <c r="H37" s="89">
        <v>458</v>
      </c>
      <c r="I37" s="94"/>
      <c r="J37" s="94"/>
      <c r="K37" s="77"/>
      <c r="L37" s="77"/>
      <c r="M37" s="77"/>
    </row>
    <row r="38" s="69" customFormat="1" ht="18" customHeight="1" spans="1:13">
      <c r="A38" s="86" t="s">
        <v>261</v>
      </c>
      <c r="B38" s="91">
        <f t="shared" ref="B38:H38" si="25">B6-B21-B33-B34-B35-B36-B37</f>
        <v>0</v>
      </c>
      <c r="C38" s="91">
        <f t="shared" si="25"/>
        <v>5115</v>
      </c>
      <c r="D38" s="91">
        <f t="shared" si="25"/>
        <v>0</v>
      </c>
      <c r="E38" s="91">
        <f t="shared" si="25"/>
        <v>39401</v>
      </c>
      <c r="F38" s="91">
        <f t="shared" si="25"/>
        <v>0</v>
      </c>
      <c r="G38" s="91">
        <f t="shared" si="25"/>
        <v>0</v>
      </c>
      <c r="H38" s="91">
        <f t="shared" si="25"/>
        <v>21313</v>
      </c>
      <c r="I38" s="75"/>
      <c r="J38" s="75"/>
      <c r="K38" s="76"/>
      <c r="L38" s="75"/>
      <c r="M38" s="77"/>
    </row>
    <row r="39" hidden="1" spans="8:8">
      <c r="H39" s="69">
        <f>H20-H18</f>
        <v>59547</v>
      </c>
    </row>
    <row r="40" hidden="1" spans="8:8">
      <c r="H40" s="69">
        <f>H20-H38</f>
        <v>77635</v>
      </c>
    </row>
    <row r="41" hidden="1"/>
  </sheetData>
  <mergeCells count="7">
    <mergeCell ref="A2:M2"/>
    <mergeCell ref="E3:F3"/>
    <mergeCell ref="H3:I3"/>
    <mergeCell ref="B4:C4"/>
    <mergeCell ref="D4:E4"/>
    <mergeCell ref="F4:M4"/>
    <mergeCell ref="A4:A5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&amp;C第&amp;P页，总&amp;N页</oddFooter>
  </headerFooter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L18" sqref="L18"/>
    </sheetView>
  </sheetViews>
  <sheetFormatPr defaultColWidth="9" defaultRowHeight="13.5"/>
  <cols>
    <col min="1" max="1" width="36.625" style="69" customWidth="1"/>
    <col min="2" max="5" width="8.375" style="69" hidden="1" customWidth="1"/>
    <col min="6" max="6" width="8.375" style="69" customWidth="1"/>
    <col min="7" max="7" width="8.375" style="69" hidden="1" customWidth="1"/>
    <col min="8" max="9" width="8.375" style="69" customWidth="1"/>
    <col min="10" max="10" width="8.375" style="69" hidden="1" customWidth="1"/>
    <col min="11" max="12" width="8.375" style="69" customWidth="1"/>
    <col min="13" max="13" width="12.625" style="69"/>
    <col min="14" max="14" width="9" style="69"/>
    <col min="15" max="15" width="11.125" style="69" customWidth="1"/>
    <col min="16" max="16384" width="9" style="69"/>
  </cols>
  <sheetData>
    <row r="1" s="69" customFormat="1" spans="1:1">
      <c r="A1" s="69" t="s">
        <v>262</v>
      </c>
    </row>
    <row r="2" s="69" customFormat="1" ht="24" customHeight="1" spans="1:12">
      <c r="A2" s="40" t="s">
        <v>263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="69" customFormat="1" spans="1:9">
      <c r="A3" s="41" t="s">
        <v>264</v>
      </c>
      <c r="E3" s="59"/>
      <c r="F3" s="59"/>
      <c r="G3" s="59"/>
      <c r="H3" s="60" t="s">
        <v>3</v>
      </c>
      <c r="I3" s="60"/>
    </row>
    <row r="4" s="69" customFormat="1" spans="1:12">
      <c r="A4" s="42" t="s">
        <v>4</v>
      </c>
      <c r="B4" s="43" t="s">
        <v>5</v>
      </c>
      <c r="C4" s="44"/>
      <c r="D4" s="43" t="s">
        <v>6</v>
      </c>
      <c r="E4" s="44"/>
      <c r="F4" s="45" t="s">
        <v>7</v>
      </c>
      <c r="G4" s="45"/>
      <c r="H4" s="45"/>
      <c r="I4" s="45"/>
      <c r="J4" s="45"/>
      <c r="K4" s="45"/>
      <c r="L4" s="45"/>
    </row>
    <row r="5" s="69" customFormat="1" ht="42" customHeight="1" spans="1:12">
      <c r="A5" s="42"/>
      <c r="B5" s="45" t="s">
        <v>8</v>
      </c>
      <c r="C5" s="45" t="s">
        <v>9</v>
      </c>
      <c r="D5" s="45" t="s">
        <v>8</v>
      </c>
      <c r="E5" s="45" t="s">
        <v>9</v>
      </c>
      <c r="F5" s="45" t="s">
        <v>8</v>
      </c>
      <c r="G5" s="45" t="s">
        <v>10</v>
      </c>
      <c r="H5" s="45" t="s">
        <v>11</v>
      </c>
      <c r="I5" s="45" t="s">
        <v>12</v>
      </c>
      <c r="J5" s="45" t="s">
        <v>13</v>
      </c>
      <c r="K5" s="45" t="s">
        <v>14</v>
      </c>
      <c r="L5" s="45" t="s">
        <v>15</v>
      </c>
    </row>
    <row r="6" s="69" customFormat="1" ht="19" customHeight="1" spans="1:12">
      <c r="A6" s="42" t="s">
        <v>229</v>
      </c>
      <c r="B6" s="70">
        <f t="shared" ref="B6:H6" si="0">SUM(B7,B13,B14,B15)</f>
        <v>18</v>
      </c>
      <c r="C6" s="70">
        <f t="shared" si="0"/>
        <v>85</v>
      </c>
      <c r="D6" s="70">
        <f t="shared" si="0"/>
        <v>118</v>
      </c>
      <c r="E6" s="70">
        <f t="shared" si="0"/>
        <v>89</v>
      </c>
      <c r="F6" s="70">
        <f t="shared" si="0"/>
        <v>102</v>
      </c>
      <c r="G6" s="70">
        <f t="shared" si="0"/>
        <v>112</v>
      </c>
      <c r="H6" s="70">
        <f t="shared" si="0"/>
        <v>112</v>
      </c>
      <c r="I6" s="75">
        <f t="shared" ref="I6:I8" si="1">ROUND(H6/F6*100,2)</f>
        <v>109.8</v>
      </c>
      <c r="J6" s="75">
        <f t="shared" ref="J6:J8" si="2">ROUND(H6/G6*100,2)</f>
        <v>100</v>
      </c>
      <c r="K6" s="76">
        <f t="shared" ref="K6:K8" si="3">H6-E6</f>
        <v>23</v>
      </c>
      <c r="L6" s="75">
        <f t="shared" ref="L6:L8" si="4">ROUND(K6/E6*100,2)</f>
        <v>25.84</v>
      </c>
    </row>
    <row r="7" s="69" customFormat="1" ht="19" customHeight="1" spans="1:12">
      <c r="A7" s="71" t="s">
        <v>265</v>
      </c>
      <c r="B7" s="70">
        <f t="shared" ref="B7:H7" si="5">SUM(B8:B12)</f>
        <v>18</v>
      </c>
      <c r="C7" s="70">
        <f t="shared" si="5"/>
        <v>29</v>
      </c>
      <c r="D7" s="70">
        <f t="shared" si="5"/>
        <v>20</v>
      </c>
      <c r="E7" s="70">
        <f t="shared" si="5"/>
        <v>-9</v>
      </c>
      <c r="F7" s="70">
        <f t="shared" si="5"/>
        <v>0</v>
      </c>
      <c r="G7" s="70">
        <f t="shared" si="5"/>
        <v>10</v>
      </c>
      <c r="H7" s="70">
        <f t="shared" si="5"/>
        <v>10</v>
      </c>
      <c r="I7" s="75"/>
      <c r="J7" s="75">
        <f t="shared" si="2"/>
        <v>100</v>
      </c>
      <c r="K7" s="76">
        <f t="shared" si="3"/>
        <v>19</v>
      </c>
      <c r="L7" s="75">
        <f t="shared" si="4"/>
        <v>-211.11</v>
      </c>
    </row>
    <row r="8" s="69" customFormat="1" ht="19" customHeight="1" spans="1:12">
      <c r="A8" s="71" t="s">
        <v>266</v>
      </c>
      <c r="B8" s="72">
        <v>18</v>
      </c>
      <c r="C8" s="72">
        <v>29</v>
      </c>
      <c r="D8" s="72">
        <v>20</v>
      </c>
      <c r="E8" s="72">
        <v>-9</v>
      </c>
      <c r="F8" s="72"/>
      <c r="G8" s="72">
        <v>10</v>
      </c>
      <c r="H8" s="72">
        <v>10</v>
      </c>
      <c r="I8" s="75"/>
      <c r="J8" s="75">
        <f t="shared" si="2"/>
        <v>100</v>
      </c>
      <c r="K8" s="76">
        <f t="shared" si="3"/>
        <v>19</v>
      </c>
      <c r="L8" s="75">
        <f t="shared" si="4"/>
        <v>-211.11</v>
      </c>
    </row>
    <row r="9" s="69" customFormat="1" ht="19" customHeight="1" spans="1:12">
      <c r="A9" s="71" t="s">
        <v>267</v>
      </c>
      <c r="B9" s="72"/>
      <c r="C9" s="72"/>
      <c r="D9" s="72"/>
      <c r="E9" s="72"/>
      <c r="F9" s="72"/>
      <c r="G9" s="72"/>
      <c r="H9" s="72"/>
      <c r="I9" s="77"/>
      <c r="J9" s="77"/>
      <c r="K9" s="77"/>
      <c r="L9" s="77"/>
    </row>
    <row r="10" s="69" customFormat="1" ht="19" customHeight="1" spans="1:12">
      <c r="A10" s="71" t="s">
        <v>268</v>
      </c>
      <c r="B10" s="72"/>
      <c r="C10" s="72"/>
      <c r="D10" s="72"/>
      <c r="E10" s="72"/>
      <c r="F10" s="72"/>
      <c r="G10" s="72"/>
      <c r="H10" s="72"/>
      <c r="I10" s="77"/>
      <c r="J10" s="77"/>
      <c r="K10" s="77"/>
      <c r="L10" s="77"/>
    </row>
    <row r="11" s="69" customFormat="1" ht="19" customHeight="1" spans="1:12">
      <c r="A11" s="71" t="s">
        <v>269</v>
      </c>
      <c r="B11" s="72"/>
      <c r="C11" s="72"/>
      <c r="D11" s="72"/>
      <c r="E11" s="72"/>
      <c r="F11" s="72"/>
      <c r="G11" s="72"/>
      <c r="H11" s="72"/>
      <c r="I11" s="77"/>
      <c r="J11" s="77"/>
      <c r="K11" s="77"/>
      <c r="L11" s="77"/>
    </row>
    <row r="12" s="69" customFormat="1" ht="19" customHeight="1" spans="1:12">
      <c r="A12" s="71" t="s">
        <v>270</v>
      </c>
      <c r="B12" s="72"/>
      <c r="C12" s="72"/>
      <c r="D12" s="72"/>
      <c r="E12" s="72"/>
      <c r="F12" s="72"/>
      <c r="G12" s="72"/>
      <c r="H12" s="72"/>
      <c r="I12" s="77"/>
      <c r="J12" s="77"/>
      <c r="K12" s="77"/>
      <c r="L12" s="77"/>
    </row>
    <row r="13" s="69" customFormat="1" ht="19" customHeight="1" spans="1:12">
      <c r="A13" s="71" t="s">
        <v>271</v>
      </c>
      <c r="B13" s="72"/>
      <c r="C13" s="72">
        <v>13</v>
      </c>
      <c r="D13" s="72">
        <v>13</v>
      </c>
      <c r="E13" s="72">
        <v>13</v>
      </c>
      <c r="F13" s="72">
        <v>13</v>
      </c>
      <c r="G13" s="72">
        <v>13</v>
      </c>
      <c r="H13" s="72">
        <v>13</v>
      </c>
      <c r="I13" s="75">
        <f t="shared" ref="I13:I16" si="6">ROUND(H13/F13*100,2)</f>
        <v>100</v>
      </c>
      <c r="J13" s="75">
        <f t="shared" ref="J13:J16" si="7">ROUND(H13/G13*100,2)</f>
        <v>100</v>
      </c>
      <c r="K13" s="76">
        <f t="shared" ref="K13:K16" si="8">H13-E13</f>
        <v>0</v>
      </c>
      <c r="L13" s="75">
        <f t="shared" ref="L13:L16" si="9">ROUND(K13/E13*100,2)</f>
        <v>0</v>
      </c>
    </row>
    <row r="14" s="69" customFormat="1" ht="19" customHeight="1" spans="1:12">
      <c r="A14" s="71" t="s">
        <v>272</v>
      </c>
      <c r="B14" s="72"/>
      <c r="C14" s="72"/>
      <c r="D14" s="72"/>
      <c r="E14" s="72"/>
      <c r="F14" s="72"/>
      <c r="G14" s="72"/>
      <c r="H14" s="72"/>
      <c r="I14" s="77"/>
      <c r="J14" s="77"/>
      <c r="K14" s="77"/>
      <c r="L14" s="77"/>
    </row>
    <row r="15" s="69" customFormat="1" ht="19" customHeight="1" spans="1:12">
      <c r="A15" s="71" t="s">
        <v>273</v>
      </c>
      <c r="B15" s="72"/>
      <c r="C15" s="72">
        <v>43</v>
      </c>
      <c r="D15" s="72">
        <v>85</v>
      </c>
      <c r="E15" s="72">
        <v>85</v>
      </c>
      <c r="F15" s="72">
        <v>89</v>
      </c>
      <c r="G15" s="72">
        <v>89</v>
      </c>
      <c r="H15" s="72">
        <v>89</v>
      </c>
      <c r="I15" s="75">
        <f t="shared" si="6"/>
        <v>100</v>
      </c>
      <c r="J15" s="75">
        <f t="shared" si="7"/>
        <v>100</v>
      </c>
      <c r="K15" s="76">
        <f t="shared" si="8"/>
        <v>4</v>
      </c>
      <c r="L15" s="75">
        <f t="shared" si="9"/>
        <v>4.71</v>
      </c>
    </row>
    <row r="16" s="69" customFormat="1" ht="19" customHeight="1" spans="1:12">
      <c r="A16" s="42" t="s">
        <v>243</v>
      </c>
      <c r="B16" s="73">
        <f t="shared" ref="B16:H16" si="10">SUM(B17,B22,B23,B24,B25)</f>
        <v>18</v>
      </c>
      <c r="C16" s="73">
        <f t="shared" si="10"/>
        <v>85</v>
      </c>
      <c r="D16" s="73">
        <f t="shared" si="10"/>
        <v>118</v>
      </c>
      <c r="E16" s="73">
        <f t="shared" si="10"/>
        <v>89</v>
      </c>
      <c r="F16" s="73">
        <f t="shared" si="10"/>
        <v>102</v>
      </c>
      <c r="G16" s="73">
        <f t="shared" si="10"/>
        <v>112</v>
      </c>
      <c r="H16" s="73">
        <f t="shared" si="10"/>
        <v>112</v>
      </c>
      <c r="I16" s="75">
        <f t="shared" si="6"/>
        <v>109.8</v>
      </c>
      <c r="J16" s="75">
        <f t="shared" si="7"/>
        <v>100</v>
      </c>
      <c r="K16" s="76">
        <f t="shared" si="8"/>
        <v>23</v>
      </c>
      <c r="L16" s="75">
        <f t="shared" si="9"/>
        <v>25.84</v>
      </c>
    </row>
    <row r="17" s="69" customFormat="1" ht="19" customHeight="1" spans="1:12">
      <c r="A17" s="71" t="s">
        <v>274</v>
      </c>
      <c r="B17" s="72">
        <f t="shared" ref="B17:H17" si="11">SUM(B18:B21)</f>
        <v>18</v>
      </c>
      <c r="C17" s="72">
        <f t="shared" si="11"/>
        <v>0</v>
      </c>
      <c r="D17" s="72">
        <f t="shared" si="11"/>
        <v>118</v>
      </c>
      <c r="E17" s="72">
        <f t="shared" si="11"/>
        <v>0</v>
      </c>
      <c r="F17" s="72">
        <f t="shared" si="11"/>
        <v>102</v>
      </c>
      <c r="G17" s="72">
        <f t="shared" si="11"/>
        <v>0</v>
      </c>
      <c r="H17" s="72">
        <f t="shared" si="11"/>
        <v>0</v>
      </c>
      <c r="I17" s="77"/>
      <c r="J17" s="77"/>
      <c r="K17" s="77"/>
      <c r="L17" s="77"/>
    </row>
    <row r="18" s="69" customFormat="1" ht="19" customHeight="1" spans="1:12">
      <c r="A18" s="71" t="s">
        <v>275</v>
      </c>
      <c r="B18" s="72"/>
      <c r="C18" s="72"/>
      <c r="D18" s="72"/>
      <c r="E18" s="72"/>
      <c r="F18" s="72">
        <v>102</v>
      </c>
      <c r="G18" s="72"/>
      <c r="H18" s="72"/>
      <c r="I18" s="77"/>
      <c r="J18" s="77"/>
      <c r="K18" s="77"/>
      <c r="L18" s="77"/>
    </row>
    <row r="19" s="69" customFormat="1" ht="19" customHeight="1" spans="1:12">
      <c r="A19" s="71" t="s">
        <v>276</v>
      </c>
      <c r="B19" s="72"/>
      <c r="C19" s="72"/>
      <c r="D19" s="72"/>
      <c r="E19" s="72"/>
      <c r="F19" s="72"/>
      <c r="G19" s="72"/>
      <c r="H19" s="72"/>
      <c r="I19" s="77"/>
      <c r="J19" s="77"/>
      <c r="K19" s="77"/>
      <c r="L19" s="77"/>
    </row>
    <row r="20" s="69" customFormat="1" ht="19" customHeight="1" spans="1:12">
      <c r="A20" s="71" t="s">
        <v>277</v>
      </c>
      <c r="B20" s="72"/>
      <c r="C20" s="72"/>
      <c r="D20" s="72"/>
      <c r="E20" s="72"/>
      <c r="F20" s="72"/>
      <c r="G20" s="72"/>
      <c r="H20" s="72"/>
      <c r="I20" s="77"/>
      <c r="J20" s="77"/>
      <c r="K20" s="77"/>
      <c r="L20" s="77"/>
    </row>
    <row r="21" s="69" customFormat="1" ht="19" customHeight="1" spans="1:12">
      <c r="A21" s="71" t="s">
        <v>278</v>
      </c>
      <c r="B21" s="72">
        <v>18</v>
      </c>
      <c r="C21" s="72"/>
      <c r="D21" s="72">
        <v>118</v>
      </c>
      <c r="E21" s="72"/>
      <c r="F21" s="72"/>
      <c r="G21" s="72"/>
      <c r="H21" s="72"/>
      <c r="I21" s="77"/>
      <c r="J21" s="77"/>
      <c r="K21" s="77"/>
      <c r="L21" s="77"/>
    </row>
    <row r="22" s="69" customFormat="1" ht="19" customHeight="1" spans="1:12">
      <c r="A22" s="71" t="s">
        <v>279</v>
      </c>
      <c r="B22" s="72"/>
      <c r="C22" s="72"/>
      <c r="D22" s="72"/>
      <c r="E22" s="72"/>
      <c r="F22" s="72"/>
      <c r="G22" s="72"/>
      <c r="H22" s="72"/>
      <c r="I22" s="77"/>
      <c r="J22" s="77"/>
      <c r="K22" s="77"/>
      <c r="L22" s="77"/>
    </row>
    <row r="23" s="69" customFormat="1" ht="19" customHeight="1" spans="1:12">
      <c r="A23" s="71" t="s">
        <v>280</v>
      </c>
      <c r="B23" s="72"/>
      <c r="C23" s="72"/>
      <c r="D23" s="72"/>
      <c r="E23" s="72"/>
      <c r="F23" s="72"/>
      <c r="G23" s="72"/>
      <c r="H23" s="72"/>
      <c r="I23" s="77"/>
      <c r="J23" s="77"/>
      <c r="K23" s="77"/>
      <c r="L23" s="77"/>
    </row>
    <row r="24" s="69" customFormat="1" ht="19" customHeight="1" spans="1:12">
      <c r="A24" s="71" t="s">
        <v>281</v>
      </c>
      <c r="B24" s="72"/>
      <c r="C24" s="72"/>
      <c r="D24" s="72"/>
      <c r="E24" s="72"/>
      <c r="F24" s="72"/>
      <c r="G24" s="72">
        <v>30</v>
      </c>
      <c r="H24" s="72">
        <v>30</v>
      </c>
      <c r="I24" s="75"/>
      <c r="J24" s="75">
        <f>ROUND(H24/G24*100,2)</f>
        <v>100</v>
      </c>
      <c r="K24" s="76">
        <f>H24-E24</f>
        <v>30</v>
      </c>
      <c r="L24" s="75"/>
    </row>
    <row r="25" s="69" customFormat="1" ht="19" customHeight="1" spans="1:12">
      <c r="A25" s="74" t="s">
        <v>282</v>
      </c>
      <c r="B25" s="72">
        <f t="shared" ref="B25:H25" si="12">B6-B17-B22-B23-B24</f>
        <v>0</v>
      </c>
      <c r="C25" s="72">
        <f t="shared" si="12"/>
        <v>85</v>
      </c>
      <c r="D25" s="72">
        <f t="shared" si="12"/>
        <v>0</v>
      </c>
      <c r="E25" s="72">
        <f t="shared" si="12"/>
        <v>89</v>
      </c>
      <c r="F25" s="72">
        <f t="shared" si="12"/>
        <v>0</v>
      </c>
      <c r="G25" s="72">
        <f t="shared" si="12"/>
        <v>82</v>
      </c>
      <c r="H25" s="72">
        <f t="shared" si="12"/>
        <v>82</v>
      </c>
      <c r="I25" s="77"/>
      <c r="J25" s="77"/>
      <c r="K25" s="77"/>
      <c r="L25" s="77"/>
    </row>
  </sheetData>
  <mergeCells count="6">
    <mergeCell ref="A2:L2"/>
    <mergeCell ref="H3:I3"/>
    <mergeCell ref="B4:C4"/>
    <mergeCell ref="D4:E4"/>
    <mergeCell ref="F4:L4"/>
    <mergeCell ref="A4:A5"/>
  </mergeCells>
  <printOptions horizontalCentered="1"/>
  <pageMargins left="0.751388888888889" right="0.751388888888889" top="1" bottom="1" header="0.5" footer="0.5"/>
  <pageSetup paperSize="9" scale="9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1"/>
  <sheetViews>
    <sheetView workbookViewId="0">
      <selection activeCell="K11" sqref="K11"/>
    </sheetView>
  </sheetViews>
  <sheetFormatPr defaultColWidth="8" defaultRowHeight="13.5"/>
  <cols>
    <col min="1" max="1" width="24.875" style="37" customWidth="1"/>
    <col min="2" max="2" width="9.375" style="37" hidden="1" customWidth="1"/>
    <col min="3" max="3" width="7.375" style="37" hidden="1" customWidth="1"/>
    <col min="4" max="4" width="9.375" style="37" hidden="1" customWidth="1"/>
    <col min="5" max="5" width="7.375" style="37" hidden="1" customWidth="1"/>
    <col min="6" max="6" width="9.375" style="37" customWidth="1"/>
    <col min="7" max="7" width="9.375" style="37" hidden="1" customWidth="1"/>
    <col min="8" max="8" width="9.5" style="37" customWidth="1"/>
    <col min="9" max="9" width="10.25" style="37" customWidth="1"/>
    <col min="10" max="10" width="12.125" style="37" hidden="1" customWidth="1"/>
    <col min="11" max="12" width="9.375" style="36" customWidth="1"/>
    <col min="13" max="16382" width="8" style="36"/>
    <col min="16383" max="16383" width="8" style="17"/>
  </cols>
  <sheetData>
    <row r="1" s="36" customFormat="1" ht="14.25" spans="1:16383">
      <c r="A1" s="38" t="s">
        <v>283</v>
      </c>
      <c r="B1" s="39"/>
      <c r="C1" s="39"/>
      <c r="D1" s="37"/>
      <c r="E1" s="37"/>
      <c r="F1" s="37"/>
      <c r="G1" s="37"/>
      <c r="H1" s="37"/>
      <c r="I1" s="37"/>
      <c r="J1" s="37"/>
      <c r="XFC1" s="17"/>
    </row>
    <row r="2" s="36" customFormat="1" ht="29" customHeight="1" spans="1:12">
      <c r="A2" s="40" t="s">
        <v>284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="36" customFormat="1" ht="19" customHeight="1" spans="1:10">
      <c r="A3" s="41" t="s">
        <v>2</v>
      </c>
      <c r="B3" s="41"/>
      <c r="C3" s="41"/>
      <c r="D3" s="41"/>
      <c r="E3" s="41"/>
      <c r="F3" s="59"/>
      <c r="G3" s="59"/>
      <c r="H3" s="60" t="s">
        <v>3</v>
      </c>
      <c r="I3" s="60"/>
      <c r="J3" s="59"/>
    </row>
    <row r="4" s="36" customFormat="1" ht="19" customHeight="1" spans="1:12">
      <c r="A4" s="42" t="s">
        <v>285</v>
      </c>
      <c r="B4" s="43" t="s">
        <v>5</v>
      </c>
      <c r="C4" s="44"/>
      <c r="D4" s="43" t="s">
        <v>6</v>
      </c>
      <c r="E4" s="44"/>
      <c r="F4" s="45" t="s">
        <v>7</v>
      </c>
      <c r="G4" s="45"/>
      <c r="H4" s="45"/>
      <c r="I4" s="45"/>
      <c r="J4" s="45"/>
      <c r="K4" s="45"/>
      <c r="L4" s="45"/>
    </row>
    <row r="5" s="36" customFormat="1" ht="34" customHeight="1" spans="1:12">
      <c r="A5" s="42"/>
      <c r="B5" s="45" t="s">
        <v>8</v>
      </c>
      <c r="C5" s="45" t="s">
        <v>9</v>
      </c>
      <c r="D5" s="67" t="s">
        <v>8</v>
      </c>
      <c r="E5" s="67" t="s">
        <v>9</v>
      </c>
      <c r="F5" s="45" t="s">
        <v>8</v>
      </c>
      <c r="G5" s="45" t="s">
        <v>10</v>
      </c>
      <c r="H5" s="45" t="s">
        <v>11</v>
      </c>
      <c r="I5" s="45" t="s">
        <v>12</v>
      </c>
      <c r="J5" s="45" t="s">
        <v>13</v>
      </c>
      <c r="K5" s="45" t="s">
        <v>14</v>
      </c>
      <c r="L5" s="45" t="s">
        <v>15</v>
      </c>
    </row>
    <row r="6" s="36" customFormat="1" ht="19" customHeight="1" spans="1:12">
      <c r="A6" s="62" t="s">
        <v>286</v>
      </c>
      <c r="B6" s="47">
        <f t="shared" ref="B6:H6" si="0">SUM(B7:B13)</f>
        <v>50307</v>
      </c>
      <c r="C6" s="47">
        <f t="shared" si="0"/>
        <v>44315</v>
      </c>
      <c r="D6" s="47">
        <f t="shared" si="0"/>
        <v>50458</v>
      </c>
      <c r="E6" s="47">
        <f t="shared" si="0"/>
        <v>42492</v>
      </c>
      <c r="F6" s="47">
        <f t="shared" si="0"/>
        <v>54849</v>
      </c>
      <c r="G6" s="47">
        <f t="shared" si="0"/>
        <v>58686</v>
      </c>
      <c r="H6" s="47">
        <f t="shared" si="0"/>
        <v>66627</v>
      </c>
      <c r="I6" s="53">
        <f t="shared" ref="I6:I8" si="1">ROUND(H6/F6*100,2)</f>
        <v>121.47</v>
      </c>
      <c r="J6" s="53">
        <f t="shared" ref="J6:J8" si="2">ROUND(H6/G6*100,2)</f>
        <v>113.53</v>
      </c>
      <c r="K6" s="54">
        <f t="shared" ref="K6:K8" si="3">H6-E6</f>
        <v>24135</v>
      </c>
      <c r="L6" s="53">
        <f t="shared" ref="L6:L8" si="4">ROUND(K6/E6*100,2)</f>
        <v>56.8</v>
      </c>
    </row>
    <row r="7" s="36" customFormat="1" ht="19" customHeight="1" spans="1:12">
      <c r="A7" s="62" t="s">
        <v>287</v>
      </c>
      <c r="B7" s="47">
        <f>3336+18290</f>
        <v>21626</v>
      </c>
      <c r="C7" s="47">
        <f>3275+16728</f>
        <v>20003</v>
      </c>
      <c r="D7" s="47">
        <f>3286+17693</f>
        <v>20979</v>
      </c>
      <c r="E7" s="47">
        <f>4100+19473</f>
        <v>23573</v>
      </c>
      <c r="F7" s="47">
        <f>3669+20996</f>
        <v>24665</v>
      </c>
      <c r="G7" s="47">
        <f>5620+20396</f>
        <v>26016</v>
      </c>
      <c r="H7" s="47">
        <v>26737</v>
      </c>
      <c r="I7" s="53">
        <f t="shared" si="1"/>
        <v>108.4</v>
      </c>
      <c r="J7" s="53">
        <f t="shared" si="2"/>
        <v>102.77</v>
      </c>
      <c r="K7" s="54">
        <f t="shared" si="3"/>
        <v>3164</v>
      </c>
      <c r="L7" s="53">
        <f t="shared" si="4"/>
        <v>13.42</v>
      </c>
    </row>
    <row r="8" s="36" customFormat="1" ht="19" customHeight="1" spans="1:12">
      <c r="A8" s="62" t="s">
        <v>288</v>
      </c>
      <c r="B8" s="47">
        <f>11162+15489</f>
        <v>26651</v>
      </c>
      <c r="C8" s="47">
        <f>7921+16091</f>
        <v>24012</v>
      </c>
      <c r="D8" s="47">
        <f>11270+17092</f>
        <v>28362</v>
      </c>
      <c r="E8" s="47">
        <f>3559+13857</f>
        <v>17416</v>
      </c>
      <c r="F8" s="47">
        <f>12211+16715</f>
        <v>28926</v>
      </c>
      <c r="G8" s="47">
        <f>12211+18115</f>
        <v>30326</v>
      </c>
      <c r="H8" s="47">
        <v>36864</v>
      </c>
      <c r="I8" s="53">
        <f t="shared" si="1"/>
        <v>127.44</v>
      </c>
      <c r="J8" s="53">
        <f t="shared" si="2"/>
        <v>121.56</v>
      </c>
      <c r="K8" s="54">
        <f t="shared" si="3"/>
        <v>19448</v>
      </c>
      <c r="L8" s="53">
        <f t="shared" si="4"/>
        <v>111.67</v>
      </c>
    </row>
    <row r="9" s="36" customFormat="1" ht="19" customHeight="1" spans="1:12">
      <c r="A9" s="62" t="s">
        <v>289</v>
      </c>
      <c r="B9" s="47"/>
      <c r="C9" s="47"/>
      <c r="D9" s="47"/>
      <c r="E9" s="47"/>
      <c r="F9" s="47"/>
      <c r="G9" s="47"/>
      <c r="H9" s="47"/>
      <c r="I9" s="47"/>
      <c r="J9" s="47"/>
      <c r="K9" s="68"/>
      <c r="L9" s="68"/>
    </row>
    <row r="10" s="36" customFormat="1" ht="19" customHeight="1" spans="1:12">
      <c r="A10" s="62" t="s">
        <v>290</v>
      </c>
      <c r="B10" s="47">
        <f>90+50</f>
        <v>140</v>
      </c>
      <c r="C10" s="47">
        <f>84+22</f>
        <v>106</v>
      </c>
      <c r="D10" s="47">
        <f>90+25</f>
        <v>115</v>
      </c>
      <c r="E10" s="47">
        <f>64+21</f>
        <v>85</v>
      </c>
      <c r="F10" s="47">
        <f>75+20</f>
        <v>95</v>
      </c>
      <c r="G10" s="47">
        <f>53+20</f>
        <v>73</v>
      </c>
      <c r="H10" s="47">
        <v>74</v>
      </c>
      <c r="I10" s="53">
        <f t="shared" ref="I10:I20" si="5">ROUND(H10/F10*100,2)</f>
        <v>77.89</v>
      </c>
      <c r="J10" s="53">
        <f t="shared" ref="J10:J20" si="6">ROUND(H10/G10*100,2)</f>
        <v>101.37</v>
      </c>
      <c r="K10" s="54">
        <f t="shared" ref="K10:K20" si="7">H10-E10</f>
        <v>-11</v>
      </c>
      <c r="L10" s="53">
        <f t="shared" ref="L10:L20" si="8">ROUND(K10/E10*100,2)</f>
        <v>-12.94</v>
      </c>
    </row>
    <row r="11" s="36" customFormat="1" ht="19" customHeight="1" spans="1:12">
      <c r="A11" s="62" t="s">
        <v>291</v>
      </c>
      <c r="B11" s="47"/>
      <c r="C11" s="47">
        <f>88</f>
        <v>88</v>
      </c>
      <c r="D11" s="47">
        <v>847</v>
      </c>
      <c r="E11" s="47">
        <f>734</f>
        <v>734</v>
      </c>
      <c r="F11" s="47">
        <v>860</v>
      </c>
      <c r="G11" s="47"/>
      <c r="H11" s="47">
        <v>1449</v>
      </c>
      <c r="I11" s="53">
        <f t="shared" si="5"/>
        <v>168.49</v>
      </c>
      <c r="J11" s="53"/>
      <c r="K11" s="54">
        <f t="shared" si="7"/>
        <v>715</v>
      </c>
      <c r="L11" s="53">
        <f t="shared" si="8"/>
        <v>97.41</v>
      </c>
    </row>
    <row r="12" s="36" customFormat="1" ht="19" customHeight="1" spans="1:12">
      <c r="A12" s="62" t="s">
        <v>292</v>
      </c>
      <c r="B12" s="47">
        <f>200</f>
        <v>200</v>
      </c>
      <c r="C12" s="47">
        <f>3+101</f>
        <v>104</v>
      </c>
      <c r="D12" s="47">
        <f>155</f>
        <v>155</v>
      </c>
      <c r="E12" s="47">
        <f>5+646</f>
        <v>651</v>
      </c>
      <c r="F12" s="47">
        <f>3+300</f>
        <v>303</v>
      </c>
      <c r="G12" s="47"/>
      <c r="H12" s="47">
        <v>991</v>
      </c>
      <c r="I12" s="53">
        <f t="shared" si="5"/>
        <v>327.06</v>
      </c>
      <c r="J12" s="53"/>
      <c r="K12" s="54">
        <f t="shared" si="7"/>
        <v>340</v>
      </c>
      <c r="L12" s="53">
        <f t="shared" si="8"/>
        <v>52.23</v>
      </c>
    </row>
    <row r="13" s="36" customFormat="1" ht="19" customHeight="1" spans="1:12">
      <c r="A13" s="62" t="s">
        <v>293</v>
      </c>
      <c r="B13" s="47">
        <f>1690</f>
        <v>1690</v>
      </c>
      <c r="C13" s="47">
        <f>2</f>
        <v>2</v>
      </c>
      <c r="D13" s="47"/>
      <c r="E13" s="47">
        <f>11+22</f>
        <v>33</v>
      </c>
      <c r="F13" s="47"/>
      <c r="G13" s="47">
        <f>1271+1000</f>
        <v>2271</v>
      </c>
      <c r="H13" s="47">
        <v>512</v>
      </c>
      <c r="I13" s="53"/>
      <c r="J13" s="53">
        <f t="shared" si="6"/>
        <v>22.55</v>
      </c>
      <c r="K13" s="54">
        <f t="shared" si="7"/>
        <v>479</v>
      </c>
      <c r="L13" s="53">
        <f t="shared" si="8"/>
        <v>1451.52</v>
      </c>
    </row>
    <row r="14" s="36" customFormat="1" ht="19" customHeight="1" spans="1:12">
      <c r="A14" s="62" t="s">
        <v>294</v>
      </c>
      <c r="B14" s="47">
        <f t="shared" ref="B14:H14" si="9">SUM(B15:B17)</f>
        <v>44591</v>
      </c>
      <c r="C14" s="47">
        <f t="shared" si="9"/>
        <v>43607</v>
      </c>
      <c r="D14" s="47">
        <f t="shared" si="9"/>
        <v>46298</v>
      </c>
      <c r="E14" s="47">
        <f t="shared" si="9"/>
        <v>48270</v>
      </c>
      <c r="F14" s="47">
        <f t="shared" si="9"/>
        <v>50285</v>
      </c>
      <c r="G14" s="47">
        <f t="shared" si="9"/>
        <v>53008</v>
      </c>
      <c r="H14" s="47">
        <f t="shared" si="9"/>
        <v>53261</v>
      </c>
      <c r="I14" s="53">
        <f t="shared" si="5"/>
        <v>105.92</v>
      </c>
      <c r="J14" s="53">
        <f t="shared" si="6"/>
        <v>100.48</v>
      </c>
      <c r="K14" s="54">
        <f t="shared" si="7"/>
        <v>4991</v>
      </c>
      <c r="L14" s="53">
        <f t="shared" si="8"/>
        <v>10.34</v>
      </c>
    </row>
    <row r="15" s="36" customFormat="1" ht="19" customHeight="1" spans="1:12">
      <c r="A15" s="62" t="s">
        <v>295</v>
      </c>
      <c r="B15" s="47">
        <f>10562+34029</f>
        <v>44591</v>
      </c>
      <c r="C15" s="47">
        <f>9956+400+115+33042</f>
        <v>43513</v>
      </c>
      <c r="D15" s="47">
        <f>11327+34935</f>
        <v>46262</v>
      </c>
      <c r="E15" s="47">
        <f>11298+842+165+35814</f>
        <v>48119</v>
      </c>
      <c r="F15" s="47">
        <f>12774+37440</f>
        <v>50214</v>
      </c>
      <c r="G15" s="47">
        <f>14000+38990</f>
        <v>52990</v>
      </c>
      <c r="H15" s="47">
        <v>52868</v>
      </c>
      <c r="I15" s="53">
        <f t="shared" si="5"/>
        <v>105.29</v>
      </c>
      <c r="J15" s="53">
        <f t="shared" si="6"/>
        <v>99.77</v>
      </c>
      <c r="K15" s="54">
        <f t="shared" si="7"/>
        <v>4749</v>
      </c>
      <c r="L15" s="53">
        <f t="shared" si="8"/>
        <v>9.87</v>
      </c>
    </row>
    <row r="16" s="36" customFormat="1" ht="19" customHeight="1" spans="1:12">
      <c r="A16" s="62" t="s">
        <v>296</v>
      </c>
      <c r="B16" s="47"/>
      <c r="C16" s="47">
        <f>7+8</f>
        <v>15</v>
      </c>
      <c r="D16" s="47">
        <f>6+30</f>
        <v>36</v>
      </c>
      <c r="E16" s="47">
        <f>7+28</f>
        <v>35</v>
      </c>
      <c r="F16" s="47">
        <f>6+30</f>
        <v>36</v>
      </c>
      <c r="G16" s="47">
        <f>18</f>
        <v>18</v>
      </c>
      <c r="H16" s="47">
        <v>47</v>
      </c>
      <c r="I16" s="53">
        <f t="shared" si="5"/>
        <v>130.56</v>
      </c>
      <c r="J16" s="53">
        <f t="shared" si="6"/>
        <v>261.11</v>
      </c>
      <c r="K16" s="54">
        <f t="shared" si="7"/>
        <v>12</v>
      </c>
      <c r="L16" s="53">
        <f t="shared" si="8"/>
        <v>34.29</v>
      </c>
    </row>
    <row r="17" s="36" customFormat="1" ht="19" customHeight="1" spans="1:12">
      <c r="A17" s="62" t="s">
        <v>297</v>
      </c>
      <c r="B17" s="47"/>
      <c r="C17" s="47">
        <f>79</f>
        <v>79</v>
      </c>
      <c r="D17" s="47"/>
      <c r="E17" s="47">
        <f>2+114</f>
        <v>116</v>
      </c>
      <c r="F17" s="47">
        <f>0+35</f>
        <v>35</v>
      </c>
      <c r="G17" s="47"/>
      <c r="H17" s="47">
        <v>346</v>
      </c>
      <c r="I17" s="53">
        <f t="shared" si="5"/>
        <v>988.57</v>
      </c>
      <c r="J17" s="53"/>
      <c r="K17" s="54">
        <f t="shared" si="7"/>
        <v>230</v>
      </c>
      <c r="L17" s="53">
        <f t="shared" si="8"/>
        <v>198.28</v>
      </c>
    </row>
    <row r="18" s="36" customFormat="1" ht="19" customHeight="1" spans="1:12">
      <c r="A18" s="62" t="s">
        <v>298</v>
      </c>
      <c r="B18" s="47">
        <f t="shared" ref="B18:H18" si="10">SUM(B6,-B14)</f>
        <v>5716</v>
      </c>
      <c r="C18" s="47">
        <f t="shared" si="10"/>
        <v>708</v>
      </c>
      <c r="D18" s="47">
        <f t="shared" si="10"/>
        <v>4160</v>
      </c>
      <c r="E18" s="47">
        <f t="shared" si="10"/>
        <v>-5778</v>
      </c>
      <c r="F18" s="47">
        <f t="shared" si="10"/>
        <v>4564</v>
      </c>
      <c r="G18" s="47">
        <f t="shared" si="10"/>
        <v>5678</v>
      </c>
      <c r="H18" s="47">
        <f t="shared" si="10"/>
        <v>13366</v>
      </c>
      <c r="I18" s="53">
        <f t="shared" si="5"/>
        <v>292.86</v>
      </c>
      <c r="J18" s="53">
        <f t="shared" si="6"/>
        <v>235.4</v>
      </c>
      <c r="K18" s="54">
        <f t="shared" si="7"/>
        <v>19144</v>
      </c>
      <c r="L18" s="53">
        <f t="shared" si="8"/>
        <v>-331.33</v>
      </c>
    </row>
    <row r="19" s="36" customFormat="1" ht="19" customHeight="1" spans="1:12">
      <c r="A19" s="62" t="s">
        <v>299</v>
      </c>
      <c r="B19" s="47">
        <f>35535+2600</f>
        <v>38135</v>
      </c>
      <c r="C19" s="47">
        <f>35535+2600</f>
        <v>38135</v>
      </c>
      <c r="D19" s="47">
        <f>36430+2413</f>
        <v>38843</v>
      </c>
      <c r="E19" s="47">
        <f>C20</f>
        <v>38843</v>
      </c>
      <c r="F19" s="47">
        <f>E20</f>
        <v>33065</v>
      </c>
      <c r="G19" s="47">
        <f>E20</f>
        <v>33065</v>
      </c>
      <c r="H19" s="47">
        <f>E20</f>
        <v>33065</v>
      </c>
      <c r="I19" s="53">
        <f t="shared" si="5"/>
        <v>100</v>
      </c>
      <c r="J19" s="53">
        <f t="shared" si="6"/>
        <v>100</v>
      </c>
      <c r="K19" s="54">
        <f t="shared" si="7"/>
        <v>-5778</v>
      </c>
      <c r="L19" s="53">
        <f t="shared" si="8"/>
        <v>-14.88</v>
      </c>
    </row>
    <row r="20" s="36" customFormat="1" ht="19" customHeight="1" spans="1:12">
      <c r="A20" s="62" t="s">
        <v>300</v>
      </c>
      <c r="B20" s="47">
        <f t="shared" ref="B20:H20" si="11">SUM(B18:B19)</f>
        <v>43851</v>
      </c>
      <c r="C20" s="47">
        <f t="shared" si="11"/>
        <v>38843</v>
      </c>
      <c r="D20" s="47">
        <f t="shared" si="11"/>
        <v>43003</v>
      </c>
      <c r="E20" s="47">
        <f t="shared" si="11"/>
        <v>33065</v>
      </c>
      <c r="F20" s="47">
        <f t="shared" si="11"/>
        <v>37629</v>
      </c>
      <c r="G20" s="47">
        <f t="shared" si="11"/>
        <v>38743</v>
      </c>
      <c r="H20" s="47">
        <f t="shared" si="11"/>
        <v>46431</v>
      </c>
      <c r="I20" s="53">
        <f t="shared" si="5"/>
        <v>123.39</v>
      </c>
      <c r="J20" s="53">
        <f t="shared" si="6"/>
        <v>119.84</v>
      </c>
      <c r="K20" s="54">
        <f t="shared" si="7"/>
        <v>13366</v>
      </c>
      <c r="L20" s="53">
        <f t="shared" si="8"/>
        <v>40.42</v>
      </c>
    </row>
    <row r="21" s="36" customFormat="1" ht="28.8" customHeight="1" spans="1:10">
      <c r="A21" s="51"/>
      <c r="B21" s="51"/>
      <c r="C21" s="51"/>
      <c r="D21" s="51"/>
      <c r="E21" s="52"/>
      <c r="F21" s="52"/>
      <c r="G21" s="52"/>
      <c r="H21" s="52"/>
      <c r="I21" s="52"/>
      <c r="J21" s="52"/>
    </row>
  </sheetData>
  <mergeCells count="6">
    <mergeCell ref="A2:L2"/>
    <mergeCell ref="H3:I3"/>
    <mergeCell ref="B4:C4"/>
    <mergeCell ref="D4:E4"/>
    <mergeCell ref="F4:L4"/>
    <mergeCell ref="A4:A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workbookViewId="0">
      <selection activeCell="M14" sqref="M14"/>
    </sheetView>
  </sheetViews>
  <sheetFormatPr defaultColWidth="8" defaultRowHeight="13.5"/>
  <cols>
    <col min="1" max="1" width="26.875" style="37" customWidth="1"/>
    <col min="2" max="4" width="8" style="37" hidden="1" customWidth="1"/>
    <col min="5" max="5" width="8.25" style="37" hidden="1" customWidth="1"/>
    <col min="6" max="6" width="8.25" style="37" customWidth="1"/>
    <col min="7" max="7" width="8.25" style="37" hidden="1" customWidth="1"/>
    <col min="8" max="9" width="8.25" style="37" customWidth="1"/>
    <col min="10" max="10" width="8.25" style="37" hidden="1" customWidth="1"/>
    <col min="11" max="11" width="8.125" style="37" customWidth="1"/>
    <col min="12" max="12" width="9.375" style="37" customWidth="1"/>
    <col min="13" max="13" width="18.5" style="37" customWidth="1"/>
    <col min="14" max="17" width="8" style="37" hidden="1" customWidth="1"/>
    <col min="18" max="18" width="8" style="37" customWidth="1"/>
    <col min="19" max="19" width="8" style="37" hidden="1" customWidth="1"/>
    <col min="20" max="21" width="8" style="37" customWidth="1"/>
    <col min="22" max="22" width="8" style="37" hidden="1" customWidth="1"/>
    <col min="23" max="23" width="8" style="36"/>
    <col min="24" max="24" width="9.375" style="36" customWidth="1"/>
    <col min="25" max="16384" width="8" style="36"/>
  </cols>
  <sheetData>
    <row r="1" s="36" customFormat="1" ht="14.25" spans="1:22">
      <c r="A1" s="38" t="s">
        <v>301</v>
      </c>
      <c r="B1" s="39"/>
      <c r="C1" s="39"/>
      <c r="D1" s="39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="36" customFormat="1" ht="25" customHeight="1" spans="1:24">
      <c r="A2" s="40" t="s">
        <v>302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="36" customFormat="1" ht="19.8" customHeight="1" spans="1:2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59"/>
      <c r="S3" s="59"/>
      <c r="T3" s="60" t="s">
        <v>3</v>
      </c>
      <c r="U3" s="60"/>
      <c r="V3" s="59"/>
    </row>
    <row r="4" s="36" customFormat="1" ht="21" customHeight="1" spans="1:24">
      <c r="A4" s="42" t="s">
        <v>285</v>
      </c>
      <c r="B4" s="43" t="s">
        <v>5</v>
      </c>
      <c r="C4" s="44"/>
      <c r="D4" s="43" t="s">
        <v>6</v>
      </c>
      <c r="E4" s="44"/>
      <c r="F4" s="45" t="s">
        <v>7</v>
      </c>
      <c r="G4" s="45"/>
      <c r="H4" s="45"/>
      <c r="I4" s="45"/>
      <c r="J4" s="45"/>
      <c r="K4" s="45"/>
      <c r="L4" s="45"/>
      <c r="M4" s="42" t="s">
        <v>285</v>
      </c>
      <c r="N4" s="45" t="s">
        <v>5</v>
      </c>
      <c r="O4" s="45"/>
      <c r="P4" s="43" t="s">
        <v>6</v>
      </c>
      <c r="Q4" s="44"/>
      <c r="R4" s="45" t="s">
        <v>7</v>
      </c>
      <c r="S4" s="45"/>
      <c r="T4" s="45"/>
      <c r="U4" s="45"/>
      <c r="V4" s="45"/>
      <c r="W4" s="45"/>
      <c r="X4" s="45"/>
    </row>
    <row r="5" s="36" customFormat="1" ht="54" customHeight="1" spans="1:24">
      <c r="A5" s="42"/>
      <c r="B5" s="45" t="s">
        <v>8</v>
      </c>
      <c r="C5" s="45" t="s">
        <v>9</v>
      </c>
      <c r="D5" s="45" t="s">
        <v>8</v>
      </c>
      <c r="E5" s="45" t="s">
        <v>9</v>
      </c>
      <c r="F5" s="45" t="s">
        <v>8</v>
      </c>
      <c r="G5" s="45" t="s">
        <v>10</v>
      </c>
      <c r="H5" s="45" t="s">
        <v>11</v>
      </c>
      <c r="I5" s="45" t="s">
        <v>12</v>
      </c>
      <c r="J5" s="45" t="s">
        <v>13</v>
      </c>
      <c r="K5" s="45" t="s">
        <v>14</v>
      </c>
      <c r="L5" s="45" t="s">
        <v>15</v>
      </c>
      <c r="M5" s="42"/>
      <c r="N5" s="45" t="s">
        <v>8</v>
      </c>
      <c r="O5" s="45" t="s">
        <v>9</v>
      </c>
      <c r="P5" s="45" t="s">
        <v>8</v>
      </c>
      <c r="Q5" s="45" t="s">
        <v>9</v>
      </c>
      <c r="R5" s="45" t="s">
        <v>8</v>
      </c>
      <c r="S5" s="45" t="s">
        <v>10</v>
      </c>
      <c r="T5" s="45" t="s">
        <v>11</v>
      </c>
      <c r="U5" s="45" t="s">
        <v>12</v>
      </c>
      <c r="V5" s="45" t="s">
        <v>13</v>
      </c>
      <c r="W5" s="45" t="s">
        <v>14</v>
      </c>
      <c r="X5" s="45" t="s">
        <v>15</v>
      </c>
    </row>
    <row r="6" s="36" customFormat="1" ht="21" customHeight="1" spans="1:24">
      <c r="A6" s="62" t="s">
        <v>303</v>
      </c>
      <c r="B6" s="63">
        <v>3336</v>
      </c>
      <c r="C6" s="63">
        <v>3275</v>
      </c>
      <c r="D6" s="63">
        <v>3286</v>
      </c>
      <c r="E6" s="63">
        <v>4100</v>
      </c>
      <c r="F6" s="47">
        <v>3669</v>
      </c>
      <c r="G6" s="47">
        <v>5620</v>
      </c>
      <c r="H6" s="47">
        <v>6466</v>
      </c>
      <c r="I6" s="53">
        <f>ROUND(H6/F6*100,2)</f>
        <v>176.23</v>
      </c>
      <c r="J6" s="53">
        <f>ROUND(H6/G6*100,2)</f>
        <v>115.05</v>
      </c>
      <c r="K6" s="54">
        <f>H6-E6</f>
        <v>2366</v>
      </c>
      <c r="L6" s="53">
        <f>ROUND(K6/E6*100,2)</f>
        <v>57.71</v>
      </c>
      <c r="M6" s="62" t="s">
        <v>304</v>
      </c>
      <c r="N6" s="47">
        <v>10562</v>
      </c>
      <c r="O6" s="47">
        <v>9956</v>
      </c>
      <c r="P6" s="47">
        <v>11327</v>
      </c>
      <c r="Q6" s="47">
        <v>11298</v>
      </c>
      <c r="R6" s="47">
        <v>11718</v>
      </c>
      <c r="S6" s="47">
        <v>12800</v>
      </c>
      <c r="T6" s="47">
        <v>14155</v>
      </c>
      <c r="U6" s="53">
        <f t="shared" ref="U6:U10" si="0">ROUND(T6/R6*100,2)</f>
        <v>120.8</v>
      </c>
      <c r="V6" s="53">
        <f t="shared" ref="V6:V10" si="1">ROUND(T6/S6*100,2)</f>
        <v>110.59</v>
      </c>
      <c r="W6" s="54">
        <f t="shared" ref="W6:W10" si="2">T6-Q6</f>
        <v>2857</v>
      </c>
      <c r="X6" s="53">
        <f t="shared" ref="X6:X10" si="3">ROUND(W6/Q6*100,2)</f>
        <v>25.29</v>
      </c>
    </row>
    <row r="7" s="36" customFormat="1" ht="21" customHeight="1" spans="1:24">
      <c r="A7" s="62" t="s">
        <v>305</v>
      </c>
      <c r="B7" s="63"/>
      <c r="C7" s="63"/>
      <c r="D7" s="63"/>
      <c r="E7" s="63"/>
      <c r="F7" s="47"/>
      <c r="G7" s="47"/>
      <c r="H7" s="47"/>
      <c r="I7" s="47"/>
      <c r="J7" s="47"/>
      <c r="K7" s="55"/>
      <c r="L7" s="55"/>
      <c r="M7" s="62" t="s">
        <v>306</v>
      </c>
      <c r="N7" s="47"/>
      <c r="O7" s="47">
        <v>400</v>
      </c>
      <c r="P7" s="47"/>
      <c r="Q7" s="47">
        <v>842</v>
      </c>
      <c r="R7" s="47">
        <v>895</v>
      </c>
      <c r="S7" s="47">
        <v>1051</v>
      </c>
      <c r="T7" s="47"/>
      <c r="U7" s="53">
        <f t="shared" si="0"/>
        <v>0</v>
      </c>
      <c r="V7" s="53">
        <f t="shared" si="1"/>
        <v>0</v>
      </c>
      <c r="W7" s="54">
        <f t="shared" si="2"/>
        <v>-842</v>
      </c>
      <c r="X7" s="53">
        <f t="shared" si="3"/>
        <v>-100</v>
      </c>
    </row>
    <row r="8" s="36" customFormat="1" ht="21" customHeight="1" spans="1:24">
      <c r="A8" s="62" t="s">
        <v>307</v>
      </c>
      <c r="B8" s="63">
        <v>11162</v>
      </c>
      <c r="C8" s="63">
        <v>7921</v>
      </c>
      <c r="D8" s="63">
        <v>11270</v>
      </c>
      <c r="E8" s="63">
        <v>3559</v>
      </c>
      <c r="F8" s="47">
        <v>12211</v>
      </c>
      <c r="G8" s="47">
        <v>12211</v>
      </c>
      <c r="H8" s="47">
        <v>18512</v>
      </c>
      <c r="I8" s="53">
        <f t="shared" ref="I8:I16" si="4">ROUND(H8/F8*100,2)</f>
        <v>151.6</v>
      </c>
      <c r="J8" s="53">
        <f t="shared" ref="J8:J16" si="5">ROUND(H8/G8*100,2)</f>
        <v>151.6</v>
      </c>
      <c r="K8" s="54">
        <f t="shared" ref="K8:K16" si="6">H8-E8</f>
        <v>14953</v>
      </c>
      <c r="L8" s="53">
        <f t="shared" ref="L8:L16" si="7">ROUND(K8/E8*100,2)</f>
        <v>420.15</v>
      </c>
      <c r="M8" s="62" t="s">
        <v>308</v>
      </c>
      <c r="N8" s="47"/>
      <c r="O8" s="47">
        <v>115</v>
      </c>
      <c r="P8" s="47"/>
      <c r="Q8" s="47">
        <v>165</v>
      </c>
      <c r="R8" s="47">
        <v>161</v>
      </c>
      <c r="S8" s="47">
        <v>149</v>
      </c>
      <c r="T8" s="47"/>
      <c r="U8" s="53">
        <f t="shared" si="0"/>
        <v>0</v>
      </c>
      <c r="V8" s="53">
        <f t="shared" si="1"/>
        <v>0</v>
      </c>
      <c r="W8" s="54">
        <f t="shared" si="2"/>
        <v>-165</v>
      </c>
      <c r="X8" s="53">
        <f t="shared" si="3"/>
        <v>-100</v>
      </c>
    </row>
    <row r="9" s="36" customFormat="1" ht="21" customHeight="1" spans="1:24">
      <c r="A9" s="62" t="s">
        <v>309</v>
      </c>
      <c r="B9" s="63"/>
      <c r="C9" s="63"/>
      <c r="D9" s="63"/>
      <c r="E9" s="63"/>
      <c r="F9" s="47"/>
      <c r="G9" s="47"/>
      <c r="H9" s="47"/>
      <c r="I9" s="47"/>
      <c r="J9" s="47"/>
      <c r="K9" s="55"/>
      <c r="L9" s="55"/>
      <c r="M9" s="62" t="s">
        <v>310</v>
      </c>
      <c r="N9" s="47"/>
      <c r="O9" s="47">
        <v>7</v>
      </c>
      <c r="P9" s="47">
        <v>6</v>
      </c>
      <c r="Q9" s="47">
        <v>7</v>
      </c>
      <c r="R9" s="47">
        <v>6</v>
      </c>
      <c r="S9" s="47">
        <v>18</v>
      </c>
      <c r="T9" s="47">
        <v>14</v>
      </c>
      <c r="U9" s="53">
        <f t="shared" si="0"/>
        <v>233.33</v>
      </c>
      <c r="V9" s="53">
        <f t="shared" si="1"/>
        <v>77.78</v>
      </c>
      <c r="W9" s="54">
        <f t="shared" si="2"/>
        <v>7</v>
      </c>
      <c r="X9" s="53">
        <f t="shared" si="3"/>
        <v>100</v>
      </c>
    </row>
    <row r="10" s="36" customFormat="1" ht="21" customHeight="1" spans="1:24">
      <c r="A10" s="62" t="s">
        <v>311</v>
      </c>
      <c r="B10" s="63"/>
      <c r="C10" s="63"/>
      <c r="D10" s="63"/>
      <c r="E10" s="63"/>
      <c r="F10" s="47"/>
      <c r="G10" s="47"/>
      <c r="H10" s="47"/>
      <c r="I10" s="47"/>
      <c r="J10" s="47"/>
      <c r="K10" s="56"/>
      <c r="L10" s="56"/>
      <c r="M10" s="62" t="s">
        <v>312</v>
      </c>
      <c r="N10" s="47"/>
      <c r="O10" s="47"/>
      <c r="P10" s="47"/>
      <c r="Q10" s="47">
        <v>2</v>
      </c>
      <c r="R10" s="47"/>
      <c r="S10" s="47"/>
      <c r="T10" s="47">
        <v>6</v>
      </c>
      <c r="U10" s="53"/>
      <c r="V10" s="53"/>
      <c r="W10" s="54">
        <f t="shared" si="2"/>
        <v>4</v>
      </c>
      <c r="X10" s="53">
        <f t="shared" si="3"/>
        <v>200</v>
      </c>
    </row>
    <row r="11" s="36" customFormat="1" ht="21" customHeight="1" spans="1:24">
      <c r="A11" s="62" t="s">
        <v>313</v>
      </c>
      <c r="B11" s="63"/>
      <c r="C11" s="63"/>
      <c r="D11" s="63"/>
      <c r="E11" s="63"/>
      <c r="F11" s="47"/>
      <c r="G11" s="47"/>
      <c r="H11" s="47"/>
      <c r="I11" s="47"/>
      <c r="J11" s="47"/>
      <c r="K11" s="56"/>
      <c r="L11" s="56"/>
      <c r="M11" s="62"/>
      <c r="N11" s="47"/>
      <c r="O11" s="47"/>
      <c r="P11" s="47"/>
      <c r="Q11" s="47"/>
      <c r="R11" s="47"/>
      <c r="S11" s="47"/>
      <c r="T11" s="47"/>
      <c r="U11" s="47"/>
      <c r="V11" s="47"/>
      <c r="W11" s="61"/>
      <c r="X11" s="61"/>
    </row>
    <row r="12" s="36" customFormat="1" ht="21" customHeight="1" spans="1:24">
      <c r="A12" s="62" t="s">
        <v>314</v>
      </c>
      <c r="B12" s="63">
        <v>90</v>
      </c>
      <c r="C12" s="63">
        <v>84</v>
      </c>
      <c r="D12" s="63">
        <v>90</v>
      </c>
      <c r="E12" s="63">
        <v>64</v>
      </c>
      <c r="F12" s="47">
        <v>75</v>
      </c>
      <c r="G12" s="47">
        <v>53</v>
      </c>
      <c r="H12" s="47">
        <v>58</v>
      </c>
      <c r="I12" s="53">
        <f t="shared" si="4"/>
        <v>77.33</v>
      </c>
      <c r="J12" s="53">
        <f t="shared" si="5"/>
        <v>109.43</v>
      </c>
      <c r="K12" s="54">
        <f t="shared" si="6"/>
        <v>-6</v>
      </c>
      <c r="L12" s="53">
        <f t="shared" si="7"/>
        <v>-9.38</v>
      </c>
      <c r="M12" s="62"/>
      <c r="N12" s="47"/>
      <c r="O12" s="47"/>
      <c r="P12" s="47"/>
      <c r="Q12" s="47"/>
      <c r="R12" s="47"/>
      <c r="S12" s="47"/>
      <c r="T12" s="47"/>
      <c r="U12" s="47"/>
      <c r="V12" s="47"/>
      <c r="W12" s="61"/>
      <c r="X12" s="61"/>
    </row>
    <row r="13" s="36" customFormat="1" ht="21" customHeight="1" spans="1:24">
      <c r="A13" s="62" t="s">
        <v>315</v>
      </c>
      <c r="B13" s="63"/>
      <c r="C13" s="63">
        <v>88</v>
      </c>
      <c r="D13" s="63">
        <v>847</v>
      </c>
      <c r="E13" s="63">
        <v>734</v>
      </c>
      <c r="F13" s="47">
        <v>860</v>
      </c>
      <c r="G13" s="47"/>
      <c r="H13" s="47">
        <v>1449</v>
      </c>
      <c r="I13" s="53">
        <f t="shared" si="4"/>
        <v>168.49</v>
      </c>
      <c r="J13" s="53"/>
      <c r="K13" s="54">
        <f t="shared" si="6"/>
        <v>715</v>
      </c>
      <c r="L13" s="53">
        <f t="shared" si="7"/>
        <v>97.41</v>
      </c>
      <c r="M13" s="62"/>
      <c r="N13" s="47"/>
      <c r="O13" s="47"/>
      <c r="P13" s="47"/>
      <c r="Q13" s="47"/>
      <c r="R13" s="47"/>
      <c r="S13" s="47"/>
      <c r="T13" s="47"/>
      <c r="U13" s="47"/>
      <c r="V13" s="47"/>
      <c r="W13" s="61"/>
      <c r="X13" s="61"/>
    </row>
    <row r="14" s="36" customFormat="1" ht="21" customHeight="1" spans="1:24">
      <c r="A14" s="62" t="s">
        <v>316</v>
      </c>
      <c r="B14" s="63"/>
      <c r="C14" s="63">
        <v>3</v>
      </c>
      <c r="D14" s="63"/>
      <c r="E14" s="63">
        <v>5</v>
      </c>
      <c r="F14" s="47">
        <v>3</v>
      </c>
      <c r="G14" s="47"/>
      <c r="H14" s="47">
        <v>14</v>
      </c>
      <c r="I14" s="53">
        <f t="shared" si="4"/>
        <v>466.67</v>
      </c>
      <c r="J14" s="53"/>
      <c r="K14" s="54">
        <f t="shared" si="6"/>
        <v>9</v>
      </c>
      <c r="L14" s="53">
        <f t="shared" si="7"/>
        <v>180</v>
      </c>
      <c r="M14" s="62"/>
      <c r="N14" s="47"/>
      <c r="O14" s="47"/>
      <c r="P14" s="47"/>
      <c r="Q14" s="47"/>
      <c r="R14" s="47"/>
      <c r="S14" s="47"/>
      <c r="T14" s="47"/>
      <c r="U14" s="47"/>
      <c r="V14" s="47"/>
      <c r="W14" s="61"/>
      <c r="X14" s="61"/>
    </row>
    <row r="15" s="36" customFormat="1" ht="21" customHeight="1" spans="1:24">
      <c r="A15" s="62" t="s">
        <v>317</v>
      </c>
      <c r="B15" s="63">
        <v>1690</v>
      </c>
      <c r="C15" s="63">
        <v>2</v>
      </c>
      <c r="D15" s="63"/>
      <c r="E15" s="63">
        <v>11</v>
      </c>
      <c r="F15" s="47"/>
      <c r="G15" s="47">
        <v>1271</v>
      </c>
      <c r="H15" s="47">
        <v>511</v>
      </c>
      <c r="I15" s="53"/>
      <c r="J15" s="53">
        <f t="shared" si="5"/>
        <v>40.2</v>
      </c>
      <c r="K15" s="54">
        <f t="shared" si="6"/>
        <v>500</v>
      </c>
      <c r="L15" s="53">
        <f t="shared" si="7"/>
        <v>4545.45</v>
      </c>
      <c r="M15" s="62"/>
      <c r="N15" s="47"/>
      <c r="O15" s="47"/>
      <c r="P15" s="47"/>
      <c r="Q15" s="47"/>
      <c r="R15" s="47"/>
      <c r="S15" s="47"/>
      <c r="T15" s="47"/>
      <c r="U15" s="47"/>
      <c r="V15" s="47"/>
      <c r="W15" s="61"/>
      <c r="X15" s="61"/>
    </row>
    <row r="16" s="36" customFormat="1" ht="21" customHeight="1" spans="1:24">
      <c r="A16" s="62" t="s">
        <v>318</v>
      </c>
      <c r="B16" s="63">
        <f t="shared" ref="B16:H16" si="8">B6+B8+B11+B12+B13+B14+B15</f>
        <v>16278</v>
      </c>
      <c r="C16" s="63">
        <f t="shared" si="8"/>
        <v>11373</v>
      </c>
      <c r="D16" s="63">
        <f t="shared" si="8"/>
        <v>15493</v>
      </c>
      <c r="E16" s="63">
        <f t="shared" si="8"/>
        <v>8473</v>
      </c>
      <c r="F16" s="63">
        <f t="shared" si="8"/>
        <v>16818</v>
      </c>
      <c r="G16" s="63">
        <f t="shared" si="8"/>
        <v>19155</v>
      </c>
      <c r="H16" s="63">
        <f t="shared" si="8"/>
        <v>27010</v>
      </c>
      <c r="I16" s="53">
        <f t="shared" si="4"/>
        <v>160.6</v>
      </c>
      <c r="J16" s="53">
        <f t="shared" si="5"/>
        <v>141.01</v>
      </c>
      <c r="K16" s="54">
        <f t="shared" si="6"/>
        <v>18537</v>
      </c>
      <c r="L16" s="53">
        <f t="shared" si="7"/>
        <v>218.78</v>
      </c>
      <c r="M16" s="62" t="s">
        <v>319</v>
      </c>
      <c r="N16" s="47">
        <f t="shared" ref="N16:T16" si="9">N6+N7+N8+N9+N10</f>
        <v>10562</v>
      </c>
      <c r="O16" s="47">
        <f t="shared" si="9"/>
        <v>10478</v>
      </c>
      <c r="P16" s="47">
        <f t="shared" si="9"/>
        <v>11333</v>
      </c>
      <c r="Q16" s="47">
        <f t="shared" si="9"/>
        <v>12314</v>
      </c>
      <c r="R16" s="47">
        <f t="shared" si="9"/>
        <v>12780</v>
      </c>
      <c r="S16" s="47">
        <f t="shared" si="9"/>
        <v>14018</v>
      </c>
      <c r="T16" s="47">
        <f t="shared" si="9"/>
        <v>14175</v>
      </c>
      <c r="U16" s="53">
        <f t="shared" ref="U16:U22" si="10">ROUND(T16/R16*100,2)</f>
        <v>110.92</v>
      </c>
      <c r="V16" s="53">
        <f t="shared" ref="V16:V22" si="11">ROUND(T16/S16*100,2)</f>
        <v>101.12</v>
      </c>
      <c r="W16" s="54">
        <f t="shared" ref="W16:W22" si="12">T16-Q16</f>
        <v>1861</v>
      </c>
      <c r="X16" s="53">
        <f t="shared" ref="X16:X22" si="13">ROUND(W16/Q16*100,2)</f>
        <v>15.11</v>
      </c>
    </row>
    <row r="17" s="36" customFormat="1" ht="21" customHeight="1" spans="1:24">
      <c r="A17" s="62" t="s">
        <v>320</v>
      </c>
      <c r="B17" s="63"/>
      <c r="C17" s="63"/>
      <c r="D17" s="63"/>
      <c r="E17" s="63"/>
      <c r="F17" s="47"/>
      <c r="G17" s="47"/>
      <c r="H17" s="47"/>
      <c r="I17" s="47"/>
      <c r="J17" s="47"/>
      <c r="K17" s="56"/>
      <c r="L17" s="56"/>
      <c r="M17" s="62" t="s">
        <v>321</v>
      </c>
      <c r="N17" s="47"/>
      <c r="O17" s="47"/>
      <c r="P17" s="47"/>
      <c r="Q17" s="47"/>
      <c r="R17" s="47"/>
      <c r="S17" s="47"/>
      <c r="T17" s="47"/>
      <c r="U17" s="47"/>
      <c r="V17" s="47"/>
      <c r="W17" s="61"/>
      <c r="X17" s="61"/>
    </row>
    <row r="18" s="36" customFormat="1" ht="21" customHeight="1" spans="1:24">
      <c r="A18" s="62" t="s">
        <v>322</v>
      </c>
      <c r="B18" s="63"/>
      <c r="C18" s="63"/>
      <c r="D18" s="63"/>
      <c r="E18" s="63"/>
      <c r="F18" s="47"/>
      <c r="G18" s="47"/>
      <c r="H18" s="47"/>
      <c r="I18" s="47"/>
      <c r="J18" s="47"/>
      <c r="K18" s="56"/>
      <c r="L18" s="56"/>
      <c r="M18" s="62" t="s">
        <v>323</v>
      </c>
      <c r="N18" s="47"/>
      <c r="O18" s="47"/>
      <c r="P18" s="47"/>
      <c r="Q18" s="47"/>
      <c r="R18" s="47"/>
      <c r="S18" s="47"/>
      <c r="T18" s="47"/>
      <c r="U18" s="47"/>
      <c r="V18" s="47"/>
      <c r="W18" s="61"/>
      <c r="X18" s="61"/>
    </row>
    <row r="19" s="36" customFormat="1" ht="21" customHeight="1" spans="1:24">
      <c r="A19" s="62" t="s">
        <v>324</v>
      </c>
      <c r="B19" s="63">
        <f t="shared" ref="B19:H19" si="14">B16+B17+B18</f>
        <v>16278</v>
      </c>
      <c r="C19" s="63">
        <f t="shared" si="14"/>
        <v>11373</v>
      </c>
      <c r="D19" s="63">
        <f t="shared" si="14"/>
        <v>15493</v>
      </c>
      <c r="E19" s="63">
        <f t="shared" si="14"/>
        <v>8473</v>
      </c>
      <c r="F19" s="63">
        <f t="shared" si="14"/>
        <v>16818</v>
      </c>
      <c r="G19" s="63">
        <f t="shared" si="14"/>
        <v>19155</v>
      </c>
      <c r="H19" s="63">
        <f t="shared" si="14"/>
        <v>27010</v>
      </c>
      <c r="I19" s="53">
        <f t="shared" ref="I19:I22" si="15">ROUND(H19/F19*100,2)</f>
        <v>160.6</v>
      </c>
      <c r="J19" s="53">
        <f t="shared" ref="J19:J22" si="16">ROUND(H19/G19*100,2)</f>
        <v>141.01</v>
      </c>
      <c r="K19" s="54">
        <f t="shared" ref="K19:K22" si="17">H19-E19</f>
        <v>18537</v>
      </c>
      <c r="L19" s="53">
        <f t="shared" ref="L19:L22" si="18">ROUND(K19/E19*100,2)</f>
        <v>218.78</v>
      </c>
      <c r="M19" s="62" t="s">
        <v>325</v>
      </c>
      <c r="N19" s="47">
        <f t="shared" ref="N19:T19" si="19">N16+N17+N18</f>
        <v>10562</v>
      </c>
      <c r="O19" s="47">
        <f t="shared" si="19"/>
        <v>10478</v>
      </c>
      <c r="P19" s="47">
        <f t="shared" si="19"/>
        <v>11333</v>
      </c>
      <c r="Q19" s="47">
        <f t="shared" si="19"/>
        <v>12314</v>
      </c>
      <c r="R19" s="47">
        <f t="shared" si="19"/>
        <v>12780</v>
      </c>
      <c r="S19" s="47">
        <f t="shared" si="19"/>
        <v>14018</v>
      </c>
      <c r="T19" s="47">
        <f t="shared" si="19"/>
        <v>14175</v>
      </c>
      <c r="U19" s="53">
        <f t="shared" si="10"/>
        <v>110.92</v>
      </c>
      <c r="V19" s="53">
        <f t="shared" si="11"/>
        <v>101.12</v>
      </c>
      <c r="W19" s="54">
        <f t="shared" si="12"/>
        <v>1861</v>
      </c>
      <c r="X19" s="53">
        <f t="shared" si="13"/>
        <v>15.11</v>
      </c>
    </row>
    <row r="20" s="36" customFormat="1" ht="21" customHeight="1" spans="1:24">
      <c r="A20" s="62"/>
      <c r="B20" s="63"/>
      <c r="C20" s="63"/>
      <c r="D20" s="63"/>
      <c r="E20" s="63"/>
      <c r="F20" s="47"/>
      <c r="G20" s="47"/>
      <c r="H20" s="47"/>
      <c r="I20" s="47"/>
      <c r="J20" s="47"/>
      <c r="K20" s="56"/>
      <c r="L20" s="56"/>
      <c r="M20" s="62" t="s">
        <v>326</v>
      </c>
      <c r="N20" s="47">
        <f t="shared" ref="N20:T20" si="20">B19-N19</f>
        <v>5716</v>
      </c>
      <c r="O20" s="47">
        <f t="shared" si="20"/>
        <v>895</v>
      </c>
      <c r="P20" s="47">
        <f t="shared" si="20"/>
        <v>4160</v>
      </c>
      <c r="Q20" s="47">
        <f t="shared" si="20"/>
        <v>-3841</v>
      </c>
      <c r="R20" s="47">
        <f t="shared" si="20"/>
        <v>4038</v>
      </c>
      <c r="S20" s="47">
        <f t="shared" si="20"/>
        <v>5137</v>
      </c>
      <c r="T20" s="47">
        <f t="shared" si="20"/>
        <v>12835</v>
      </c>
      <c r="U20" s="53">
        <f t="shared" si="10"/>
        <v>317.86</v>
      </c>
      <c r="V20" s="53">
        <f t="shared" si="11"/>
        <v>249.85</v>
      </c>
      <c r="W20" s="54">
        <f t="shared" si="12"/>
        <v>16676</v>
      </c>
      <c r="X20" s="53">
        <f t="shared" si="13"/>
        <v>-434.16</v>
      </c>
    </row>
    <row r="21" s="36" customFormat="1" ht="21" customHeight="1" spans="1:24">
      <c r="A21" s="62" t="s">
        <v>327</v>
      </c>
      <c r="B21" s="63">
        <v>35535</v>
      </c>
      <c r="C21" s="63">
        <v>35535</v>
      </c>
      <c r="D21" s="63">
        <v>36430</v>
      </c>
      <c r="E21" s="63">
        <v>36430</v>
      </c>
      <c r="F21" s="47">
        <v>32589</v>
      </c>
      <c r="G21" s="47">
        <v>32589</v>
      </c>
      <c r="H21" s="47">
        <v>32589</v>
      </c>
      <c r="I21" s="53">
        <f t="shared" si="15"/>
        <v>100</v>
      </c>
      <c r="J21" s="53">
        <f t="shared" si="16"/>
        <v>100</v>
      </c>
      <c r="K21" s="54">
        <f t="shared" si="17"/>
        <v>-3841</v>
      </c>
      <c r="L21" s="53">
        <f t="shared" si="18"/>
        <v>-10.54</v>
      </c>
      <c r="M21" s="62" t="s">
        <v>328</v>
      </c>
      <c r="N21" s="47">
        <f t="shared" ref="N21:T21" si="21">B21+N20</f>
        <v>41251</v>
      </c>
      <c r="O21" s="47">
        <f t="shared" si="21"/>
        <v>36430</v>
      </c>
      <c r="P21" s="47">
        <f t="shared" si="21"/>
        <v>40590</v>
      </c>
      <c r="Q21" s="47">
        <f t="shared" si="21"/>
        <v>32589</v>
      </c>
      <c r="R21" s="47">
        <f t="shared" si="21"/>
        <v>36627</v>
      </c>
      <c r="S21" s="47">
        <f t="shared" si="21"/>
        <v>37726</v>
      </c>
      <c r="T21" s="47">
        <f t="shared" si="21"/>
        <v>45424</v>
      </c>
      <c r="U21" s="53">
        <f t="shared" si="10"/>
        <v>124.02</v>
      </c>
      <c r="V21" s="53">
        <f t="shared" si="11"/>
        <v>120.41</v>
      </c>
      <c r="W21" s="54">
        <f t="shared" si="12"/>
        <v>12835</v>
      </c>
      <c r="X21" s="53">
        <f t="shared" si="13"/>
        <v>39.38</v>
      </c>
    </row>
    <row r="22" s="36" customFormat="1" ht="21" customHeight="1" spans="1:24">
      <c r="A22" s="64" t="s">
        <v>329</v>
      </c>
      <c r="B22" s="63">
        <f t="shared" ref="B22:H22" si="22">B19+B21</f>
        <v>51813</v>
      </c>
      <c r="C22" s="63">
        <f t="shared" si="22"/>
        <v>46908</v>
      </c>
      <c r="D22" s="63">
        <f t="shared" si="22"/>
        <v>51923</v>
      </c>
      <c r="E22" s="63">
        <f t="shared" si="22"/>
        <v>44903</v>
      </c>
      <c r="F22" s="63">
        <f t="shared" si="22"/>
        <v>49407</v>
      </c>
      <c r="G22" s="63">
        <f t="shared" si="22"/>
        <v>51744</v>
      </c>
      <c r="H22" s="63">
        <f t="shared" si="22"/>
        <v>59599</v>
      </c>
      <c r="I22" s="53">
        <f t="shared" si="15"/>
        <v>120.63</v>
      </c>
      <c r="J22" s="53">
        <f t="shared" si="16"/>
        <v>115.18</v>
      </c>
      <c r="K22" s="54">
        <f t="shared" si="17"/>
        <v>14696</v>
      </c>
      <c r="L22" s="53">
        <f t="shared" si="18"/>
        <v>32.73</v>
      </c>
      <c r="M22" s="64" t="s">
        <v>330</v>
      </c>
      <c r="N22" s="47">
        <f t="shared" ref="N22:T22" si="23">N19+N21</f>
        <v>51813</v>
      </c>
      <c r="O22" s="47">
        <f t="shared" si="23"/>
        <v>46908</v>
      </c>
      <c r="P22" s="47">
        <f t="shared" si="23"/>
        <v>51923</v>
      </c>
      <c r="Q22" s="47">
        <f t="shared" si="23"/>
        <v>44903</v>
      </c>
      <c r="R22" s="47">
        <f t="shared" si="23"/>
        <v>49407</v>
      </c>
      <c r="S22" s="47">
        <f t="shared" si="23"/>
        <v>51744</v>
      </c>
      <c r="T22" s="47">
        <f t="shared" si="23"/>
        <v>59599</v>
      </c>
      <c r="U22" s="53">
        <f t="shared" si="10"/>
        <v>120.63</v>
      </c>
      <c r="V22" s="53">
        <f t="shared" si="11"/>
        <v>115.18</v>
      </c>
      <c r="W22" s="54">
        <f t="shared" si="12"/>
        <v>14696</v>
      </c>
      <c r="X22" s="53">
        <f t="shared" si="13"/>
        <v>32.73</v>
      </c>
    </row>
    <row r="23" s="36" customFormat="1" ht="16.2" customHeight="1" spans="1:22">
      <c r="A23" s="65"/>
      <c r="B23" s="65"/>
      <c r="C23" s="65"/>
      <c r="D23" s="65"/>
      <c r="E23" s="66"/>
      <c r="F23" s="52"/>
      <c r="G23" s="52"/>
      <c r="H23" s="52"/>
      <c r="I23" s="52"/>
      <c r="J23" s="52"/>
      <c r="K23" s="52"/>
      <c r="L23" s="52"/>
      <c r="M23" s="51"/>
      <c r="N23" s="51"/>
      <c r="O23" s="51"/>
      <c r="P23" s="51"/>
      <c r="Q23" s="52"/>
      <c r="R23" s="52"/>
      <c r="S23" s="52"/>
      <c r="T23" s="52"/>
      <c r="U23" s="52"/>
      <c r="V23" s="52"/>
    </row>
  </sheetData>
  <mergeCells count="10">
    <mergeCell ref="A2:X2"/>
    <mergeCell ref="T3:U3"/>
    <mergeCell ref="B4:C4"/>
    <mergeCell ref="D4:E4"/>
    <mergeCell ref="F4:L4"/>
    <mergeCell ref="N4:O4"/>
    <mergeCell ref="P4:Q4"/>
    <mergeCell ref="R4:X4"/>
    <mergeCell ref="A4:A5"/>
    <mergeCell ref="M4:M5"/>
  </mergeCells>
  <printOptions horizontalCentered="1"/>
  <pageMargins left="0.751388888888889" right="0.751388888888889" top="1" bottom="1" header="0.5" footer="0.5"/>
  <pageSetup paperSize="9" scale="82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workbookViewId="0">
      <selection activeCell="K15" sqref="K15"/>
    </sheetView>
  </sheetViews>
  <sheetFormatPr defaultColWidth="8" defaultRowHeight="13.5"/>
  <cols>
    <col min="1" max="1" width="24.875" style="37" customWidth="1"/>
    <col min="2" max="2" width="7.625" style="37" hidden="1" customWidth="1"/>
    <col min="3" max="3" width="7.375" style="37" hidden="1" customWidth="1"/>
    <col min="4" max="4" width="7.625" style="37" hidden="1" customWidth="1"/>
    <col min="5" max="5" width="7.375" style="37" hidden="1" customWidth="1"/>
    <col min="6" max="6" width="8.125" style="37" customWidth="1"/>
    <col min="7" max="7" width="8.125" style="37" hidden="1" customWidth="1"/>
    <col min="8" max="8" width="8.125" style="37" customWidth="1"/>
    <col min="9" max="9" width="9.25" style="37" customWidth="1"/>
    <col min="10" max="10" width="9.25" style="37" hidden="1" customWidth="1"/>
    <col min="11" max="11" width="7.375" style="37" customWidth="1"/>
    <col min="12" max="12" width="8.375" style="37" customWidth="1"/>
    <col min="13" max="13" width="20.375" style="37" customWidth="1"/>
    <col min="14" max="14" width="7.75" style="37" hidden="1" customWidth="1"/>
    <col min="15" max="15" width="7.375" style="37" hidden="1" customWidth="1"/>
    <col min="16" max="16" width="7.625" style="37" hidden="1" customWidth="1"/>
    <col min="17" max="17" width="7.375" style="37" hidden="1" customWidth="1"/>
    <col min="18" max="18" width="8.125" style="37" customWidth="1"/>
    <col min="19" max="19" width="8.125" style="37" hidden="1" customWidth="1"/>
    <col min="20" max="20" width="8.125" style="37" customWidth="1"/>
    <col min="21" max="21" width="9.25" style="37" customWidth="1"/>
    <col min="22" max="22" width="9.25" style="37" hidden="1" customWidth="1"/>
    <col min="23" max="23" width="7" style="37" customWidth="1"/>
    <col min="24" max="24" width="9.375" style="36" customWidth="1"/>
    <col min="25" max="16384" width="8" style="36"/>
  </cols>
  <sheetData>
    <row r="1" s="36" customFormat="1" ht="14.25" spans="1:23">
      <c r="A1" s="38" t="s">
        <v>331</v>
      </c>
      <c r="B1" s="39"/>
      <c r="C1" s="39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="36" customFormat="1" ht="29" customHeight="1" spans="1:24">
      <c r="A2" s="40" t="s">
        <v>332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</row>
    <row r="3" s="36" customFormat="1" ht="19" customHeight="1" spans="1:23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59"/>
      <c r="S3" s="59"/>
      <c r="T3" s="60" t="s">
        <v>3</v>
      </c>
      <c r="U3" s="60"/>
      <c r="V3" s="59"/>
      <c r="W3" s="59"/>
    </row>
    <row r="4" s="36" customFormat="1" ht="19" customHeight="1" spans="1:24">
      <c r="A4" s="42" t="s">
        <v>285</v>
      </c>
      <c r="B4" s="43" t="s">
        <v>5</v>
      </c>
      <c r="C4" s="44"/>
      <c r="D4" s="43" t="s">
        <v>6</v>
      </c>
      <c r="E4" s="44"/>
      <c r="F4" s="45" t="s">
        <v>7</v>
      </c>
      <c r="G4" s="45"/>
      <c r="H4" s="45"/>
      <c r="I4" s="45"/>
      <c r="J4" s="45"/>
      <c r="K4" s="45"/>
      <c r="L4" s="45"/>
      <c r="M4" s="42" t="s">
        <v>285</v>
      </c>
      <c r="N4" s="43" t="s">
        <v>5</v>
      </c>
      <c r="O4" s="44"/>
      <c r="P4" s="43" t="s">
        <v>6</v>
      </c>
      <c r="Q4" s="44"/>
      <c r="R4" s="45" t="s">
        <v>7</v>
      </c>
      <c r="S4" s="45"/>
      <c r="T4" s="45"/>
      <c r="U4" s="45"/>
      <c r="V4" s="45"/>
      <c r="W4" s="45"/>
      <c r="X4" s="45"/>
    </row>
    <row r="5" s="36" customFormat="1" ht="43" customHeight="1" spans="1:24">
      <c r="A5" s="42"/>
      <c r="B5" s="45" t="s">
        <v>8</v>
      </c>
      <c r="C5" s="45" t="s">
        <v>9</v>
      </c>
      <c r="D5" s="45" t="s">
        <v>8</v>
      </c>
      <c r="E5" s="45" t="s">
        <v>9</v>
      </c>
      <c r="F5" s="45" t="s">
        <v>8</v>
      </c>
      <c r="G5" s="45" t="s">
        <v>10</v>
      </c>
      <c r="H5" s="45" t="s">
        <v>11</v>
      </c>
      <c r="I5" s="45" t="s">
        <v>12</v>
      </c>
      <c r="J5" s="45" t="s">
        <v>13</v>
      </c>
      <c r="K5" s="45" t="s">
        <v>14</v>
      </c>
      <c r="L5" s="45" t="s">
        <v>15</v>
      </c>
      <c r="M5" s="42"/>
      <c r="N5" s="45" t="s">
        <v>8</v>
      </c>
      <c r="O5" s="45" t="s">
        <v>9</v>
      </c>
      <c r="P5" s="45" t="s">
        <v>8</v>
      </c>
      <c r="Q5" s="45" t="s">
        <v>9</v>
      </c>
      <c r="R5" s="45" t="s">
        <v>8</v>
      </c>
      <c r="S5" s="45" t="s">
        <v>10</v>
      </c>
      <c r="T5" s="45" t="s">
        <v>11</v>
      </c>
      <c r="U5" s="45" t="s">
        <v>12</v>
      </c>
      <c r="V5" s="45" t="s">
        <v>13</v>
      </c>
      <c r="W5" s="45" t="s">
        <v>14</v>
      </c>
      <c r="X5" s="45" t="s">
        <v>15</v>
      </c>
    </row>
    <row r="6" s="36" customFormat="1" ht="19" customHeight="1" spans="1:24">
      <c r="A6" s="46" t="s">
        <v>333</v>
      </c>
      <c r="B6" s="47">
        <v>18290</v>
      </c>
      <c r="C6" s="47">
        <v>16728</v>
      </c>
      <c r="D6" s="47">
        <v>17693</v>
      </c>
      <c r="E6" s="47">
        <v>19473</v>
      </c>
      <c r="F6" s="47">
        <v>20996</v>
      </c>
      <c r="G6" s="47">
        <v>20396</v>
      </c>
      <c r="H6" s="47">
        <v>20271</v>
      </c>
      <c r="I6" s="53">
        <f t="shared" ref="I6:I12" si="0">ROUND(H6/F6*100,2)</f>
        <v>96.55</v>
      </c>
      <c r="J6" s="53">
        <f t="shared" ref="J6:J12" si="1">ROUND(H6/G6*100,2)</f>
        <v>99.39</v>
      </c>
      <c r="K6" s="54">
        <f t="shared" ref="K6:K12" si="2">H6-E6</f>
        <v>798</v>
      </c>
      <c r="L6" s="53">
        <f t="shared" ref="L6:L12" si="3">ROUND(K6/E6*100,2)</f>
        <v>4.1</v>
      </c>
      <c r="M6" s="46" t="s">
        <v>334</v>
      </c>
      <c r="N6" s="47">
        <v>34029</v>
      </c>
      <c r="O6" s="47">
        <v>33042</v>
      </c>
      <c r="P6" s="47">
        <v>34935</v>
      </c>
      <c r="Q6" s="47">
        <v>35814</v>
      </c>
      <c r="R6" s="47">
        <v>37440</v>
      </c>
      <c r="S6" s="47">
        <v>38990</v>
      </c>
      <c r="T6" s="47">
        <v>38713</v>
      </c>
      <c r="U6" s="53">
        <f t="shared" ref="U6:U8" si="4">ROUND(T6/R6*100,2)</f>
        <v>103.4</v>
      </c>
      <c r="V6" s="53">
        <f t="shared" ref="V6:V8" si="5">ROUND(T6/S6*100,2)</f>
        <v>99.29</v>
      </c>
      <c r="W6" s="54">
        <f t="shared" ref="W6:W8" si="6">T6-Q6</f>
        <v>2899</v>
      </c>
      <c r="X6" s="53">
        <f t="shared" ref="X6:X8" si="7">ROUND(W6/Q6*100,2)</f>
        <v>8.09</v>
      </c>
    </row>
    <row r="7" s="36" customFormat="1" ht="19" customHeight="1" spans="1:24">
      <c r="A7" s="46" t="s">
        <v>335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55"/>
      <c r="M7" s="46" t="s">
        <v>336</v>
      </c>
      <c r="N7" s="47"/>
      <c r="O7" s="47">
        <v>8</v>
      </c>
      <c r="P7" s="47">
        <v>30</v>
      </c>
      <c r="Q7" s="47">
        <v>28</v>
      </c>
      <c r="R7" s="47">
        <v>30</v>
      </c>
      <c r="S7" s="47"/>
      <c r="T7" s="47">
        <f>33</f>
        <v>33</v>
      </c>
      <c r="U7" s="53">
        <f t="shared" si="4"/>
        <v>110</v>
      </c>
      <c r="V7" s="53"/>
      <c r="W7" s="54">
        <f t="shared" si="6"/>
        <v>5</v>
      </c>
      <c r="X7" s="53">
        <f t="shared" si="7"/>
        <v>17.86</v>
      </c>
    </row>
    <row r="8" s="36" customFormat="1" ht="19" customHeight="1" spans="1:24">
      <c r="A8" s="46" t="s">
        <v>307</v>
      </c>
      <c r="B8" s="47">
        <v>15489</v>
      </c>
      <c r="C8" s="47">
        <v>16091</v>
      </c>
      <c r="D8" s="47">
        <v>17092</v>
      </c>
      <c r="E8" s="47">
        <v>13857</v>
      </c>
      <c r="F8" s="47">
        <v>16715</v>
      </c>
      <c r="G8" s="47">
        <v>18115</v>
      </c>
      <c r="H8" s="47">
        <v>18352</v>
      </c>
      <c r="I8" s="53">
        <f t="shared" si="0"/>
        <v>109.79</v>
      </c>
      <c r="J8" s="53">
        <f t="shared" si="1"/>
        <v>101.31</v>
      </c>
      <c r="K8" s="54">
        <f t="shared" si="2"/>
        <v>4495</v>
      </c>
      <c r="L8" s="53">
        <f t="shared" si="3"/>
        <v>32.44</v>
      </c>
      <c r="M8" s="46" t="s">
        <v>337</v>
      </c>
      <c r="N8" s="47"/>
      <c r="O8" s="47">
        <v>79</v>
      </c>
      <c r="P8" s="47"/>
      <c r="Q8" s="47">
        <v>114</v>
      </c>
      <c r="R8" s="47">
        <v>35</v>
      </c>
      <c r="S8" s="47"/>
      <c r="T8" s="47">
        <f>373-33</f>
        <v>340</v>
      </c>
      <c r="U8" s="53">
        <f t="shared" si="4"/>
        <v>971.43</v>
      </c>
      <c r="V8" s="53"/>
      <c r="W8" s="54">
        <f t="shared" si="6"/>
        <v>226</v>
      </c>
      <c r="X8" s="53">
        <f t="shared" si="7"/>
        <v>198.25</v>
      </c>
    </row>
    <row r="9" s="36" customFormat="1" ht="19" customHeight="1" spans="1:24">
      <c r="A9" s="46" t="s">
        <v>338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55"/>
      <c r="M9" s="46"/>
      <c r="N9" s="47"/>
      <c r="O9" s="47"/>
      <c r="P9" s="47"/>
      <c r="Q9" s="47"/>
      <c r="R9" s="47"/>
      <c r="S9" s="47"/>
      <c r="T9" s="47"/>
      <c r="U9" s="47"/>
      <c r="V9" s="47"/>
      <c r="W9" s="47"/>
      <c r="X9" s="61"/>
    </row>
    <row r="10" s="36" customFormat="1" ht="19" customHeight="1" spans="1:24">
      <c r="A10" s="46" t="s">
        <v>339</v>
      </c>
      <c r="B10" s="47">
        <v>50</v>
      </c>
      <c r="C10" s="47">
        <v>22</v>
      </c>
      <c r="D10" s="47">
        <v>25</v>
      </c>
      <c r="E10" s="47">
        <v>21</v>
      </c>
      <c r="F10" s="47">
        <v>20</v>
      </c>
      <c r="G10" s="47">
        <v>20</v>
      </c>
      <c r="H10" s="47">
        <v>16</v>
      </c>
      <c r="I10" s="53">
        <f t="shared" si="0"/>
        <v>80</v>
      </c>
      <c r="J10" s="53">
        <f t="shared" si="1"/>
        <v>80</v>
      </c>
      <c r="K10" s="54">
        <f t="shared" si="2"/>
        <v>-5</v>
      </c>
      <c r="L10" s="53">
        <f t="shared" si="3"/>
        <v>-23.81</v>
      </c>
      <c r="M10" s="46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61"/>
    </row>
    <row r="11" s="36" customFormat="1" ht="19" customHeight="1" spans="1:24">
      <c r="A11" s="46" t="s">
        <v>340</v>
      </c>
      <c r="B11" s="47">
        <v>200</v>
      </c>
      <c r="C11" s="47">
        <v>101</v>
      </c>
      <c r="D11" s="47">
        <v>155</v>
      </c>
      <c r="E11" s="47">
        <v>646</v>
      </c>
      <c r="F11" s="47">
        <v>300</v>
      </c>
      <c r="G11" s="47"/>
      <c r="H11" s="47">
        <f>978-1</f>
        <v>977</v>
      </c>
      <c r="I11" s="53">
        <f t="shared" si="0"/>
        <v>325.67</v>
      </c>
      <c r="J11" s="53"/>
      <c r="K11" s="54">
        <f t="shared" si="2"/>
        <v>331</v>
      </c>
      <c r="L11" s="53">
        <f t="shared" si="3"/>
        <v>51.24</v>
      </c>
      <c r="M11" s="46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61"/>
    </row>
    <row r="12" s="36" customFormat="1" ht="19" customHeight="1" spans="1:24">
      <c r="A12" s="46" t="s">
        <v>341</v>
      </c>
      <c r="B12" s="47"/>
      <c r="C12" s="47"/>
      <c r="D12" s="47"/>
      <c r="E12" s="47">
        <v>22</v>
      </c>
      <c r="F12" s="47"/>
      <c r="G12" s="47">
        <v>1000</v>
      </c>
      <c r="H12" s="47">
        <f>1</f>
        <v>1</v>
      </c>
      <c r="I12" s="53"/>
      <c r="J12" s="53">
        <f t="shared" si="1"/>
        <v>0.1</v>
      </c>
      <c r="K12" s="54">
        <f t="shared" si="2"/>
        <v>-21</v>
      </c>
      <c r="L12" s="53">
        <f t="shared" si="3"/>
        <v>-95.45</v>
      </c>
      <c r="M12" s="46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61"/>
    </row>
    <row r="13" s="36" customFormat="1" ht="19" customHeight="1" spans="1:24">
      <c r="A13" s="46" t="s">
        <v>342</v>
      </c>
      <c r="B13" s="47"/>
      <c r="C13" s="47"/>
      <c r="D13" s="47"/>
      <c r="E13" s="48"/>
      <c r="F13" s="47"/>
      <c r="G13" s="47"/>
      <c r="H13" s="47"/>
      <c r="I13" s="47"/>
      <c r="J13" s="47"/>
      <c r="K13" s="47"/>
      <c r="L13" s="56"/>
      <c r="M13" s="46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61"/>
    </row>
    <row r="14" s="36" customFormat="1" ht="19" customHeight="1" spans="1:24">
      <c r="A14" s="46" t="s">
        <v>343</v>
      </c>
      <c r="B14" s="47">
        <f t="shared" ref="B14:H14" si="8">B6+B8+B10+B11+B12</f>
        <v>34029</v>
      </c>
      <c r="C14" s="47">
        <f t="shared" si="8"/>
        <v>32942</v>
      </c>
      <c r="D14" s="47">
        <f t="shared" si="8"/>
        <v>34965</v>
      </c>
      <c r="E14" s="47">
        <f t="shared" si="8"/>
        <v>34019</v>
      </c>
      <c r="F14" s="47">
        <f t="shared" si="8"/>
        <v>38031</v>
      </c>
      <c r="G14" s="47">
        <f t="shared" si="8"/>
        <v>39531</v>
      </c>
      <c r="H14" s="47">
        <f t="shared" si="8"/>
        <v>39617</v>
      </c>
      <c r="I14" s="53">
        <f t="shared" ref="I14:I20" si="9">ROUND(H14/F14*100,2)</f>
        <v>104.17</v>
      </c>
      <c r="J14" s="53">
        <f t="shared" ref="J14:J20" si="10">ROUND(H14/G14*100,2)</f>
        <v>100.22</v>
      </c>
      <c r="K14" s="54">
        <f t="shared" ref="K14:K20" si="11">H14-E14</f>
        <v>5598</v>
      </c>
      <c r="L14" s="53">
        <f t="shared" ref="L14:L20" si="12">ROUND(K14/E14*100,2)</f>
        <v>16.46</v>
      </c>
      <c r="M14" s="46" t="s">
        <v>344</v>
      </c>
      <c r="N14" s="47">
        <f t="shared" ref="N14:T14" si="13">N6+N7+N8</f>
        <v>34029</v>
      </c>
      <c r="O14" s="47">
        <f t="shared" si="13"/>
        <v>33129</v>
      </c>
      <c r="P14" s="47">
        <f t="shared" si="13"/>
        <v>34965</v>
      </c>
      <c r="Q14" s="47">
        <f t="shared" si="13"/>
        <v>35956</v>
      </c>
      <c r="R14" s="47">
        <f t="shared" si="13"/>
        <v>37505</v>
      </c>
      <c r="S14" s="47">
        <f t="shared" si="13"/>
        <v>38990</v>
      </c>
      <c r="T14" s="47">
        <f t="shared" si="13"/>
        <v>39086</v>
      </c>
      <c r="U14" s="53">
        <f t="shared" ref="U14:U20" si="14">ROUND(T14/R14*100,2)</f>
        <v>104.22</v>
      </c>
      <c r="V14" s="53">
        <f t="shared" ref="V14:V20" si="15">ROUND(T14/S14*100,2)</f>
        <v>100.25</v>
      </c>
      <c r="W14" s="54">
        <f t="shared" ref="W14:W20" si="16">T14-Q14</f>
        <v>3130</v>
      </c>
      <c r="X14" s="53">
        <f t="shared" ref="X14:X20" si="17">ROUND(W14/Q14*100,2)</f>
        <v>8.71</v>
      </c>
    </row>
    <row r="15" s="36" customFormat="1" ht="19" customHeight="1" spans="1:24">
      <c r="A15" s="46" t="s">
        <v>345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56"/>
      <c r="M15" s="46" t="s">
        <v>346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61"/>
    </row>
    <row r="16" s="36" customFormat="1" ht="19" customHeight="1" spans="1:24">
      <c r="A16" s="46" t="s">
        <v>347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56"/>
      <c r="M16" s="46" t="s">
        <v>260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61"/>
    </row>
    <row r="17" s="36" customFormat="1" ht="19" customHeight="1" spans="1:24">
      <c r="A17" s="46" t="s">
        <v>348</v>
      </c>
      <c r="B17" s="47">
        <f t="shared" ref="B17:H17" si="18">B14+B15+B16</f>
        <v>34029</v>
      </c>
      <c r="C17" s="47">
        <f t="shared" si="18"/>
        <v>32942</v>
      </c>
      <c r="D17" s="47">
        <f t="shared" si="18"/>
        <v>34965</v>
      </c>
      <c r="E17" s="47">
        <f t="shared" si="18"/>
        <v>34019</v>
      </c>
      <c r="F17" s="47">
        <f t="shared" si="18"/>
        <v>38031</v>
      </c>
      <c r="G17" s="47">
        <f t="shared" si="18"/>
        <v>39531</v>
      </c>
      <c r="H17" s="47">
        <f t="shared" si="18"/>
        <v>39617</v>
      </c>
      <c r="I17" s="53">
        <f t="shared" si="9"/>
        <v>104.17</v>
      </c>
      <c r="J17" s="53">
        <f t="shared" si="10"/>
        <v>100.22</v>
      </c>
      <c r="K17" s="54">
        <f t="shared" si="11"/>
        <v>5598</v>
      </c>
      <c r="L17" s="53">
        <f t="shared" si="12"/>
        <v>16.46</v>
      </c>
      <c r="M17" s="46" t="s">
        <v>349</v>
      </c>
      <c r="N17" s="47">
        <f t="shared" ref="N17:T17" si="19">N14+N15+N16</f>
        <v>34029</v>
      </c>
      <c r="O17" s="47">
        <f t="shared" si="19"/>
        <v>33129</v>
      </c>
      <c r="P17" s="47">
        <f t="shared" si="19"/>
        <v>34965</v>
      </c>
      <c r="Q17" s="47">
        <f t="shared" si="19"/>
        <v>35956</v>
      </c>
      <c r="R17" s="47">
        <f t="shared" si="19"/>
        <v>37505</v>
      </c>
      <c r="S17" s="47">
        <f t="shared" si="19"/>
        <v>38990</v>
      </c>
      <c r="T17" s="47">
        <f t="shared" si="19"/>
        <v>39086</v>
      </c>
      <c r="U17" s="53">
        <f t="shared" si="14"/>
        <v>104.22</v>
      </c>
      <c r="V17" s="53">
        <f t="shared" si="15"/>
        <v>100.25</v>
      </c>
      <c r="W17" s="54">
        <f t="shared" si="16"/>
        <v>3130</v>
      </c>
      <c r="X17" s="53">
        <f t="shared" si="17"/>
        <v>8.71</v>
      </c>
    </row>
    <row r="18" s="36" customFormat="1" ht="19" customHeight="1" spans="1:24">
      <c r="A18" s="46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56"/>
      <c r="M18" s="46" t="s">
        <v>350</v>
      </c>
      <c r="N18" s="47">
        <f t="shared" ref="N18:T18" si="20">B17-N17</f>
        <v>0</v>
      </c>
      <c r="O18" s="47">
        <f t="shared" si="20"/>
        <v>-187</v>
      </c>
      <c r="P18" s="47">
        <f t="shared" si="20"/>
        <v>0</v>
      </c>
      <c r="Q18" s="47">
        <f t="shared" si="20"/>
        <v>-1937</v>
      </c>
      <c r="R18" s="47">
        <f t="shared" si="20"/>
        <v>526</v>
      </c>
      <c r="S18" s="47">
        <f t="shared" si="20"/>
        <v>541</v>
      </c>
      <c r="T18" s="47">
        <f t="shared" si="20"/>
        <v>531</v>
      </c>
      <c r="U18" s="53">
        <f t="shared" si="14"/>
        <v>100.95</v>
      </c>
      <c r="V18" s="53">
        <f t="shared" si="15"/>
        <v>98.15</v>
      </c>
      <c r="W18" s="54">
        <f t="shared" si="16"/>
        <v>2468</v>
      </c>
      <c r="X18" s="53">
        <f t="shared" si="17"/>
        <v>-127.41</v>
      </c>
    </row>
    <row r="19" s="36" customFormat="1" ht="19" customHeight="1" spans="1:24">
      <c r="A19" s="46" t="s">
        <v>351</v>
      </c>
      <c r="B19" s="47">
        <v>2600</v>
      </c>
      <c r="C19" s="47">
        <v>2600</v>
      </c>
      <c r="D19" s="47">
        <v>2413</v>
      </c>
      <c r="E19" s="47">
        <v>2413</v>
      </c>
      <c r="F19" s="47">
        <v>476</v>
      </c>
      <c r="G19" s="47">
        <v>476</v>
      </c>
      <c r="H19" s="47">
        <v>476</v>
      </c>
      <c r="I19" s="53">
        <f t="shared" si="9"/>
        <v>100</v>
      </c>
      <c r="J19" s="53">
        <f t="shared" si="10"/>
        <v>100</v>
      </c>
      <c r="K19" s="54">
        <f t="shared" si="11"/>
        <v>-1937</v>
      </c>
      <c r="L19" s="53">
        <f t="shared" si="12"/>
        <v>-80.27</v>
      </c>
      <c r="M19" s="46" t="s">
        <v>352</v>
      </c>
      <c r="N19" s="47">
        <f t="shared" ref="N19:T19" si="21">B19+N18</f>
        <v>2600</v>
      </c>
      <c r="O19" s="47">
        <f t="shared" si="21"/>
        <v>2413</v>
      </c>
      <c r="P19" s="47">
        <f t="shared" si="21"/>
        <v>2413</v>
      </c>
      <c r="Q19" s="47">
        <f t="shared" si="21"/>
        <v>476</v>
      </c>
      <c r="R19" s="47">
        <f t="shared" si="21"/>
        <v>1002</v>
      </c>
      <c r="S19" s="47">
        <f t="shared" si="21"/>
        <v>1017</v>
      </c>
      <c r="T19" s="47">
        <f t="shared" si="21"/>
        <v>1007</v>
      </c>
      <c r="U19" s="53">
        <f t="shared" si="14"/>
        <v>100.5</v>
      </c>
      <c r="V19" s="53">
        <f t="shared" si="15"/>
        <v>99.02</v>
      </c>
      <c r="W19" s="54">
        <f t="shared" si="16"/>
        <v>531</v>
      </c>
      <c r="X19" s="53">
        <f t="shared" si="17"/>
        <v>111.55</v>
      </c>
    </row>
    <row r="20" s="36" customFormat="1" ht="19" customHeight="1" spans="1:24">
      <c r="A20" s="49" t="s">
        <v>330</v>
      </c>
      <c r="B20" s="47">
        <f t="shared" ref="B20:H20" si="22">B17+B19</f>
        <v>36629</v>
      </c>
      <c r="C20" s="47">
        <f t="shared" si="22"/>
        <v>35542</v>
      </c>
      <c r="D20" s="47">
        <f t="shared" si="22"/>
        <v>37378</v>
      </c>
      <c r="E20" s="47">
        <f t="shared" si="22"/>
        <v>36432</v>
      </c>
      <c r="F20" s="50">
        <f t="shared" si="22"/>
        <v>38507</v>
      </c>
      <c r="G20" s="50">
        <f t="shared" si="22"/>
        <v>40007</v>
      </c>
      <c r="H20" s="50">
        <f t="shared" si="22"/>
        <v>40093</v>
      </c>
      <c r="I20" s="57">
        <f t="shared" si="9"/>
        <v>104.12</v>
      </c>
      <c r="J20" s="57">
        <f t="shared" si="10"/>
        <v>100.21</v>
      </c>
      <c r="K20" s="58">
        <f t="shared" si="11"/>
        <v>3661</v>
      </c>
      <c r="L20" s="57">
        <f t="shared" si="12"/>
        <v>10.05</v>
      </c>
      <c r="M20" s="49" t="s">
        <v>330</v>
      </c>
      <c r="N20" s="47">
        <f t="shared" ref="N20:T20" si="23">N17+N19</f>
        <v>36629</v>
      </c>
      <c r="O20" s="47">
        <f t="shared" si="23"/>
        <v>35542</v>
      </c>
      <c r="P20" s="47">
        <f t="shared" si="23"/>
        <v>37378</v>
      </c>
      <c r="Q20" s="47">
        <f t="shared" si="23"/>
        <v>36432</v>
      </c>
      <c r="R20" s="50">
        <f t="shared" si="23"/>
        <v>38507</v>
      </c>
      <c r="S20" s="50">
        <f t="shared" si="23"/>
        <v>40007</v>
      </c>
      <c r="T20" s="50">
        <f t="shared" si="23"/>
        <v>40093</v>
      </c>
      <c r="U20" s="57">
        <f t="shared" si="14"/>
        <v>104.12</v>
      </c>
      <c r="V20" s="57">
        <f t="shared" si="15"/>
        <v>100.21</v>
      </c>
      <c r="W20" s="58">
        <f t="shared" si="16"/>
        <v>3661</v>
      </c>
      <c r="X20" s="57">
        <f t="shared" si="17"/>
        <v>10.05</v>
      </c>
    </row>
    <row r="21" s="36" customFormat="1" ht="28.8" customHeight="1" spans="1:23">
      <c r="A21" s="51"/>
      <c r="B21" s="51"/>
      <c r="C21" s="51"/>
      <c r="D21" s="51"/>
      <c r="E21" s="52"/>
      <c r="F21" s="52"/>
      <c r="G21" s="52"/>
      <c r="H21" s="52"/>
      <c r="I21" s="52"/>
      <c r="J21" s="52"/>
      <c r="K21" s="52"/>
      <c r="L21" s="52"/>
      <c r="M21" s="51"/>
      <c r="N21" s="51"/>
      <c r="O21" s="51"/>
      <c r="P21" s="51"/>
      <c r="Q21" s="52"/>
      <c r="R21" s="52"/>
      <c r="S21" s="52"/>
      <c r="T21" s="52"/>
      <c r="U21" s="52"/>
      <c r="V21" s="52"/>
      <c r="W21" s="52"/>
    </row>
  </sheetData>
  <mergeCells count="10">
    <mergeCell ref="A2:X2"/>
    <mergeCell ref="T3:U3"/>
    <mergeCell ref="B4:C4"/>
    <mergeCell ref="D4:E4"/>
    <mergeCell ref="F4:L4"/>
    <mergeCell ref="N4:O4"/>
    <mergeCell ref="P4:Q4"/>
    <mergeCell ref="R4:X4"/>
    <mergeCell ref="A4:A5"/>
    <mergeCell ref="M4:M5"/>
  </mergeCells>
  <printOptions horizontalCentered="1"/>
  <pageMargins left="0.751388888888889" right="0.751388888888889" top="1" bottom="1" header="0.5" footer="0.5"/>
  <pageSetup paperSize="9" scale="8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selection activeCell="A2" sqref="A2:J2"/>
    </sheetView>
  </sheetViews>
  <sheetFormatPr defaultColWidth="12.1833333333333" defaultRowHeight="16.95" customHeight="1"/>
  <cols>
    <col min="1" max="1" width="33.4916666666667" style="30" customWidth="1"/>
    <col min="2" max="10" width="9.875" style="30" customWidth="1"/>
    <col min="11" max="256" width="12.1833333333333" style="30" customWidth="1"/>
    <col min="257" max="16384" width="12.1833333333333" style="30"/>
  </cols>
  <sheetData>
    <row r="1" customHeight="1" spans="1:1">
      <c r="A1" s="29" t="s">
        <v>353</v>
      </c>
    </row>
    <row r="2" ht="30" customHeight="1" spans="1:10">
      <c r="A2" s="31" t="s">
        <v>354</v>
      </c>
      <c r="B2" s="31"/>
      <c r="C2" s="31"/>
      <c r="D2" s="31"/>
      <c r="E2" s="31"/>
      <c r="F2" s="31"/>
      <c r="G2" s="31"/>
      <c r="H2" s="31"/>
      <c r="I2" s="31"/>
      <c r="J2" s="31"/>
    </row>
    <row r="3" s="29" customFormat="1" customHeight="1" spans="1:9">
      <c r="A3" s="29" t="s">
        <v>2</v>
      </c>
      <c r="H3" s="32" t="s">
        <v>3</v>
      </c>
      <c r="I3" s="32"/>
    </row>
    <row r="4" s="30" customFormat="1" customHeight="1" spans="1:10">
      <c r="A4" s="25" t="s">
        <v>355</v>
      </c>
      <c r="B4" s="25" t="s">
        <v>356</v>
      </c>
      <c r="C4" s="25" t="s">
        <v>357</v>
      </c>
      <c r="D4" s="25"/>
      <c r="E4" s="25"/>
      <c r="F4" s="25"/>
      <c r="G4" s="25"/>
      <c r="H4" s="25" t="s">
        <v>358</v>
      </c>
      <c r="I4" s="25"/>
      <c r="J4" s="25"/>
    </row>
    <row r="5" s="30" customFormat="1" ht="33" customHeight="1" spans="1:10">
      <c r="A5" s="25"/>
      <c r="B5" s="25"/>
      <c r="C5" s="25" t="s">
        <v>359</v>
      </c>
      <c r="D5" s="24" t="s">
        <v>360</v>
      </c>
      <c r="E5" s="24" t="s">
        <v>361</v>
      </c>
      <c r="F5" s="24" t="s">
        <v>362</v>
      </c>
      <c r="G5" s="24" t="s">
        <v>363</v>
      </c>
      <c r="H5" s="24" t="s">
        <v>359</v>
      </c>
      <c r="I5" s="24" t="s">
        <v>364</v>
      </c>
      <c r="J5" s="24" t="s">
        <v>365</v>
      </c>
    </row>
    <row r="6" s="30" customFormat="1" ht="24" customHeight="1" spans="1:10">
      <c r="A6" s="26" t="s">
        <v>366</v>
      </c>
      <c r="B6" s="33">
        <f>SUM(C6,H6)</f>
        <v>360040</v>
      </c>
      <c r="C6" s="33">
        <f t="shared" ref="C6:C11" si="0">SUM(D6:G6)</f>
        <v>230665</v>
      </c>
      <c r="D6" s="34">
        <v>220115</v>
      </c>
      <c r="E6" s="34"/>
      <c r="F6" s="34">
        <v>9190</v>
      </c>
      <c r="G6" s="34">
        <v>1360</v>
      </c>
      <c r="H6" s="33">
        <f t="shared" ref="H6:H11" si="1">SUM(I6:J6)</f>
        <v>129375</v>
      </c>
      <c r="I6" s="34">
        <v>129375</v>
      </c>
      <c r="J6" s="34"/>
    </row>
    <row r="7" s="30" customFormat="1" ht="24" customHeight="1" spans="1:10">
      <c r="A7" s="26" t="s">
        <v>367</v>
      </c>
      <c r="B7" s="33">
        <f>C7+H7</f>
        <v>408400</v>
      </c>
      <c r="C7" s="33">
        <v>238900</v>
      </c>
      <c r="D7" s="33"/>
      <c r="E7" s="33"/>
      <c r="F7" s="33"/>
      <c r="G7" s="33"/>
      <c r="H7" s="33">
        <v>169500</v>
      </c>
      <c r="I7" s="34"/>
      <c r="J7" s="34"/>
    </row>
    <row r="8" s="30" customFormat="1" ht="24" customHeight="1" spans="1:10">
      <c r="A8" s="26" t="s">
        <v>368</v>
      </c>
      <c r="B8" s="33">
        <f>C8+H8</f>
        <v>64320</v>
      </c>
      <c r="C8" s="33">
        <f>SUM(D8:G8)</f>
        <v>22342</v>
      </c>
      <c r="D8" s="34">
        <v>17160</v>
      </c>
      <c r="E8" s="34"/>
      <c r="F8" s="34"/>
      <c r="G8" s="34">
        <v>5182</v>
      </c>
      <c r="H8" s="33">
        <f t="shared" si="1"/>
        <v>41978</v>
      </c>
      <c r="I8" s="34">
        <v>41978</v>
      </c>
      <c r="J8" s="34"/>
    </row>
    <row r="9" s="30" customFormat="1" ht="24" customHeight="1" spans="1:10">
      <c r="A9" s="26" t="s">
        <v>369</v>
      </c>
      <c r="B9" s="33">
        <f t="shared" ref="B7:B11" si="2">C9+H9</f>
        <v>33746</v>
      </c>
      <c r="C9" s="33">
        <f t="shared" si="0"/>
        <v>19450</v>
      </c>
      <c r="D9" s="34">
        <v>16901</v>
      </c>
      <c r="E9" s="34"/>
      <c r="F9" s="34">
        <v>576</v>
      </c>
      <c r="G9" s="34">
        <v>1973</v>
      </c>
      <c r="H9" s="33">
        <f t="shared" si="1"/>
        <v>14296</v>
      </c>
      <c r="I9" s="34">
        <v>5000</v>
      </c>
      <c r="J9" s="34">
        <v>9296</v>
      </c>
    </row>
    <row r="10" s="30" customFormat="1" ht="24" customHeight="1" spans="1:10">
      <c r="A10" s="26" t="s">
        <v>370</v>
      </c>
      <c r="B10" s="33">
        <f t="shared" si="2"/>
        <v>-11695</v>
      </c>
      <c r="C10" s="33">
        <f t="shared" si="0"/>
        <v>-2399</v>
      </c>
      <c r="D10" s="34"/>
      <c r="E10" s="34"/>
      <c r="F10" s="34">
        <v>-1786</v>
      </c>
      <c r="G10" s="34">
        <v>-613</v>
      </c>
      <c r="H10" s="33">
        <f t="shared" si="1"/>
        <v>-9296</v>
      </c>
      <c r="I10" s="34"/>
      <c r="J10" s="34">
        <v>-9296</v>
      </c>
    </row>
    <row r="11" s="30" customFormat="1" ht="24" customHeight="1" spans="1:10">
      <c r="A11" s="26" t="s">
        <v>371</v>
      </c>
      <c r="B11" s="33">
        <f t="shared" si="2"/>
        <v>402309</v>
      </c>
      <c r="C11" s="33">
        <f t="shared" si="0"/>
        <v>235956</v>
      </c>
      <c r="D11" s="33">
        <f>D6+D8-D9-D10</f>
        <v>220374</v>
      </c>
      <c r="E11" s="33"/>
      <c r="F11" s="33">
        <f>F6+F8-F9-F10</f>
        <v>10400</v>
      </c>
      <c r="G11" s="33">
        <f>G6+G8-G9-G10</f>
        <v>5182</v>
      </c>
      <c r="H11" s="33">
        <f t="shared" si="1"/>
        <v>166353</v>
      </c>
      <c r="I11" s="33">
        <f>I8+I6-I9-I10</f>
        <v>166353</v>
      </c>
      <c r="J11" s="35">
        <f>J8+J6-J9-J10</f>
        <v>0</v>
      </c>
    </row>
    <row r="12" s="30" customFormat="1" ht="15.55" customHeight="1"/>
    <row r="13" s="30" customFormat="1" ht="15.55" customHeight="1"/>
    <row r="14" s="30" customFormat="1" ht="15.55" customHeight="1"/>
    <row r="15" s="30" customFormat="1" ht="15.55" customHeight="1"/>
    <row r="16" s="30" customFormat="1" ht="15.55" customHeight="1"/>
    <row r="17" s="30" customFormat="1" ht="15.55" customHeight="1"/>
    <row r="18" s="30" customFormat="1" ht="15.55" customHeight="1"/>
    <row r="19" s="30" customFormat="1" ht="15.55" customHeight="1"/>
    <row r="20" s="30" customFormat="1" ht="15.55" customHeight="1"/>
  </sheetData>
  <mergeCells count="6">
    <mergeCell ref="A2:J2"/>
    <mergeCell ref="H3:I3"/>
    <mergeCell ref="C4:G4"/>
    <mergeCell ref="H4:J4"/>
    <mergeCell ref="A4:A5"/>
    <mergeCell ref="B4:B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B6" sqref="B6"/>
    </sheetView>
  </sheetViews>
  <sheetFormatPr defaultColWidth="9" defaultRowHeight="13.5" outlineLevelCol="5"/>
  <cols>
    <col min="1" max="1" width="32.75" customWidth="1"/>
    <col min="2" max="6" width="18.25" customWidth="1"/>
  </cols>
  <sheetData>
    <row r="1" spans="1:1">
      <c r="A1" t="s">
        <v>372</v>
      </c>
    </row>
    <row r="2" ht="22.5" spans="1:6">
      <c r="A2" s="22" t="s">
        <v>373</v>
      </c>
      <c r="B2" s="22"/>
      <c r="C2" s="22"/>
      <c r="D2" s="22"/>
      <c r="E2" s="22"/>
      <c r="F2" s="22"/>
    </row>
    <row r="3" ht="26" customHeight="1" spans="1:6">
      <c r="A3" s="23" t="s">
        <v>374</v>
      </c>
      <c r="B3" s="23"/>
      <c r="C3" s="23"/>
      <c r="D3" s="23"/>
      <c r="E3" s="23"/>
      <c r="F3" s="23"/>
    </row>
    <row r="4" ht="67" customHeight="1" spans="1:6">
      <c r="A4" s="24" t="s">
        <v>355</v>
      </c>
      <c r="B4" s="24" t="s">
        <v>366</v>
      </c>
      <c r="C4" s="24" t="s">
        <v>368</v>
      </c>
      <c r="D4" s="24" t="s">
        <v>369</v>
      </c>
      <c r="E4" s="24" t="s">
        <v>370</v>
      </c>
      <c r="F4" s="24" t="s">
        <v>371</v>
      </c>
    </row>
    <row r="5" ht="24" customHeight="1" spans="1:6">
      <c r="A5" s="25" t="s">
        <v>375</v>
      </c>
      <c r="B5" s="26">
        <f t="shared" ref="B5:F5" si="0">SUM(B6:B20)</f>
        <v>129375</v>
      </c>
      <c r="C5" s="26">
        <f t="shared" si="0"/>
        <v>41978</v>
      </c>
      <c r="D5" s="26">
        <f t="shared" si="0"/>
        <v>14296</v>
      </c>
      <c r="E5" s="26">
        <f t="shared" si="0"/>
        <v>-9296</v>
      </c>
      <c r="F5" s="26">
        <f t="shared" si="0"/>
        <v>166353</v>
      </c>
    </row>
    <row r="6" ht="24" customHeight="1" spans="1:6">
      <c r="A6" s="26" t="s">
        <v>376</v>
      </c>
      <c r="B6" s="26"/>
      <c r="C6" s="27"/>
      <c r="D6" s="27"/>
      <c r="E6" s="27"/>
      <c r="F6" s="28">
        <f t="shared" ref="F6:F20" si="1">B6+C6-D6-E6</f>
        <v>0</v>
      </c>
    </row>
    <row r="7" ht="24" customHeight="1" spans="1:6">
      <c r="A7" s="26" t="s">
        <v>377</v>
      </c>
      <c r="B7" s="26"/>
      <c r="C7" s="24"/>
      <c r="D7" s="27"/>
      <c r="E7" s="27"/>
      <c r="F7" s="28">
        <f t="shared" si="1"/>
        <v>0</v>
      </c>
    </row>
    <row r="8" ht="24" customHeight="1" spans="1:6">
      <c r="A8" s="26" t="s">
        <v>378</v>
      </c>
      <c r="B8" s="26">
        <v>79175</v>
      </c>
      <c r="C8" s="27">
        <v>36978</v>
      </c>
      <c r="D8" s="27">
        <v>14296</v>
      </c>
      <c r="E8" s="27">
        <v>-9296</v>
      </c>
      <c r="F8" s="26">
        <f t="shared" si="1"/>
        <v>111153</v>
      </c>
    </row>
    <row r="9" ht="24" customHeight="1" spans="1:6">
      <c r="A9" s="26" t="s">
        <v>379</v>
      </c>
      <c r="B9" s="26"/>
      <c r="C9" s="27"/>
      <c r="D9" s="27"/>
      <c r="E9" s="27"/>
      <c r="F9" s="28">
        <f t="shared" si="1"/>
        <v>0</v>
      </c>
    </row>
    <row r="10" ht="24" customHeight="1" spans="1:6">
      <c r="A10" s="26" t="s">
        <v>380</v>
      </c>
      <c r="B10" s="26"/>
      <c r="C10" s="27"/>
      <c r="D10" s="27"/>
      <c r="E10" s="27"/>
      <c r="F10" s="28">
        <f t="shared" si="1"/>
        <v>0</v>
      </c>
    </row>
    <row r="11" ht="24" customHeight="1" spans="1:6">
      <c r="A11" s="26" t="s">
        <v>381</v>
      </c>
      <c r="B11" s="26"/>
      <c r="C11" s="27"/>
      <c r="D11" s="27"/>
      <c r="E11" s="27"/>
      <c r="F11" s="28">
        <f t="shared" si="1"/>
        <v>0</v>
      </c>
    </row>
    <row r="12" ht="24" customHeight="1" spans="1:6">
      <c r="A12" s="26" t="s">
        <v>382</v>
      </c>
      <c r="B12" s="26">
        <v>5000</v>
      </c>
      <c r="C12" s="27"/>
      <c r="D12" s="27"/>
      <c r="E12" s="27"/>
      <c r="F12" s="26">
        <f t="shared" si="1"/>
        <v>5000</v>
      </c>
    </row>
    <row r="13" ht="24" customHeight="1" spans="1:6">
      <c r="A13" s="26" t="s">
        <v>383</v>
      </c>
      <c r="B13" s="26">
        <v>20000</v>
      </c>
      <c r="C13" s="27"/>
      <c r="D13" s="27"/>
      <c r="E13" s="27"/>
      <c r="F13" s="26">
        <f t="shared" si="1"/>
        <v>20000</v>
      </c>
    </row>
    <row r="14" ht="24" customHeight="1" spans="1:6">
      <c r="A14" s="26" t="s">
        <v>384</v>
      </c>
      <c r="B14" s="26"/>
      <c r="C14" s="27"/>
      <c r="D14" s="27"/>
      <c r="E14" s="27"/>
      <c r="F14" s="28">
        <f t="shared" si="1"/>
        <v>0</v>
      </c>
    </row>
    <row r="15" ht="24" customHeight="1" spans="1:6">
      <c r="A15" s="26" t="s">
        <v>385</v>
      </c>
      <c r="B15" s="26"/>
      <c r="C15" s="27"/>
      <c r="D15" s="27"/>
      <c r="E15" s="27"/>
      <c r="F15" s="28">
        <f t="shared" si="1"/>
        <v>0</v>
      </c>
    </row>
    <row r="16" ht="24" customHeight="1" spans="1:6">
      <c r="A16" s="26" t="s">
        <v>386</v>
      </c>
      <c r="B16" s="26"/>
      <c r="C16" s="27"/>
      <c r="D16" s="27"/>
      <c r="E16" s="27"/>
      <c r="F16" s="28">
        <f t="shared" si="1"/>
        <v>0</v>
      </c>
    </row>
    <row r="17" ht="24" customHeight="1" spans="1:6">
      <c r="A17" s="26" t="s">
        <v>387</v>
      </c>
      <c r="B17" s="26"/>
      <c r="C17" s="27"/>
      <c r="D17" s="27"/>
      <c r="E17" s="27"/>
      <c r="F17" s="28">
        <f t="shared" si="1"/>
        <v>0</v>
      </c>
    </row>
    <row r="18" ht="24" customHeight="1" spans="1:6">
      <c r="A18" s="26" t="s">
        <v>388</v>
      </c>
      <c r="B18" s="26"/>
      <c r="C18" s="27"/>
      <c r="D18" s="27"/>
      <c r="E18" s="27"/>
      <c r="F18" s="28">
        <f t="shared" si="1"/>
        <v>0</v>
      </c>
    </row>
    <row r="19" ht="24" customHeight="1" spans="1:6">
      <c r="A19" s="26" t="s">
        <v>389</v>
      </c>
      <c r="B19" s="26">
        <v>25200</v>
      </c>
      <c r="C19" s="27">
        <v>5000</v>
      </c>
      <c r="D19" s="27"/>
      <c r="E19" s="27"/>
      <c r="F19" s="26">
        <f t="shared" si="1"/>
        <v>30200</v>
      </c>
    </row>
    <row r="20" ht="24" customHeight="1" spans="1:6">
      <c r="A20" s="26" t="s">
        <v>390</v>
      </c>
      <c r="B20" s="26"/>
      <c r="C20" s="27"/>
      <c r="D20" s="27"/>
      <c r="E20" s="27"/>
      <c r="F20" s="28">
        <f t="shared" si="1"/>
        <v>0</v>
      </c>
    </row>
  </sheetData>
  <mergeCells count="2">
    <mergeCell ref="A2:F2"/>
    <mergeCell ref="A3:F3"/>
  </mergeCells>
  <printOptions horizontalCentered="1"/>
  <pageMargins left="0.751388888888889" right="0.751388888888889" top="1" bottom="1" header="0.5" footer="0.5"/>
  <pageSetup paperSize="9" scale="87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K10" sqref="K10"/>
    </sheetView>
  </sheetViews>
  <sheetFormatPr defaultColWidth="9" defaultRowHeight="13.5"/>
  <cols>
    <col min="1" max="1" width="16.125" style="17" customWidth="1"/>
    <col min="2" max="11" width="11.5" style="17" customWidth="1"/>
    <col min="12" max="12" width="9" style="17" hidden="1" customWidth="1"/>
    <col min="13" max="16384" width="9" style="17"/>
  </cols>
  <sheetData>
    <row r="1" s="17" customFormat="1" spans="1:1">
      <c r="A1" s="17" t="s">
        <v>391</v>
      </c>
    </row>
    <row r="2" s="17" customFormat="1" ht="25" customHeight="1" spans="1:12">
      <c r="A2" s="18" t="s">
        <v>392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7" customFormat="1" spans="1:12">
      <c r="A3" s="19" t="s">
        <v>2</v>
      </c>
      <c r="B3"/>
      <c r="C3"/>
      <c r="D3"/>
      <c r="E3"/>
      <c r="F3"/>
      <c r="G3"/>
      <c r="H3"/>
      <c r="I3"/>
      <c r="J3" s="19" t="s">
        <v>3</v>
      </c>
      <c r="K3"/>
      <c r="L3"/>
    </row>
    <row r="4" s="17" customFormat="1" ht="24" customHeight="1" spans="1:12">
      <c r="A4" s="20" t="s">
        <v>393</v>
      </c>
      <c r="B4" s="20" t="s">
        <v>394</v>
      </c>
      <c r="C4" s="20" t="s">
        <v>395</v>
      </c>
      <c r="D4" s="20"/>
      <c r="E4" s="20"/>
      <c r="F4" s="20"/>
      <c r="G4" s="20"/>
      <c r="H4" s="20"/>
      <c r="I4" s="20" t="s">
        <v>396</v>
      </c>
      <c r="J4" s="20"/>
      <c r="K4" s="20"/>
      <c r="L4" s="20" t="s">
        <v>397</v>
      </c>
    </row>
    <row r="5" s="17" customFormat="1" ht="24" customHeight="1" spans="1:12">
      <c r="A5" s="20"/>
      <c r="B5" s="20"/>
      <c r="C5" s="20" t="s">
        <v>356</v>
      </c>
      <c r="D5" s="20" t="s">
        <v>398</v>
      </c>
      <c r="E5" s="20" t="s">
        <v>399</v>
      </c>
      <c r="F5" s="20"/>
      <c r="G5" s="20"/>
      <c r="H5" s="20" t="s">
        <v>400</v>
      </c>
      <c r="I5" s="20" t="s">
        <v>356</v>
      </c>
      <c r="J5" s="20" t="s">
        <v>401</v>
      </c>
      <c r="K5" s="20" t="s">
        <v>402</v>
      </c>
      <c r="L5" s="20"/>
    </row>
    <row r="6" s="17" customFormat="1" ht="48" customHeight="1" spans="1:12">
      <c r="A6" s="20"/>
      <c r="B6" s="20"/>
      <c r="C6" s="20"/>
      <c r="D6" s="20"/>
      <c r="E6" s="20" t="s">
        <v>359</v>
      </c>
      <c r="F6" s="20" t="s">
        <v>403</v>
      </c>
      <c r="G6" s="20" t="s">
        <v>404</v>
      </c>
      <c r="H6" s="20"/>
      <c r="I6" s="20"/>
      <c r="J6" s="20"/>
      <c r="K6" s="20"/>
      <c r="L6" s="20"/>
    </row>
    <row r="7" s="17" customFormat="1" ht="42" customHeight="1" spans="1:12">
      <c r="A7" s="16" t="s">
        <v>405</v>
      </c>
      <c r="B7" s="21">
        <f t="shared" ref="B7:B10" si="0">SUM(C7,I7)</f>
        <v>1656.75</v>
      </c>
      <c r="C7" s="21">
        <f t="shared" ref="C7:C10" si="1">SUM(D7,E7,H7)</f>
        <v>926.83</v>
      </c>
      <c r="D7" s="21"/>
      <c r="E7" s="21">
        <f t="shared" ref="E7:E10" si="2">SUM(F7:G7)</f>
        <v>635.55</v>
      </c>
      <c r="F7" s="21">
        <v>635.55</v>
      </c>
      <c r="G7" s="21"/>
      <c r="H7" s="21">
        <f>211.28+20+60</f>
        <v>291.28</v>
      </c>
      <c r="I7" s="21">
        <f t="shared" ref="I7:I10" si="3">SUM(J7:K7)</f>
        <v>729.92</v>
      </c>
      <c r="J7" s="21">
        <f>240.98+142</f>
        <v>382.98</v>
      </c>
      <c r="K7" s="21">
        <f>230.94+116</f>
        <v>346.94</v>
      </c>
      <c r="L7" s="7"/>
    </row>
    <row r="8" s="17" customFormat="1" ht="42" customHeight="1" spans="1:12">
      <c r="A8" s="16" t="s">
        <v>406</v>
      </c>
      <c r="B8" s="21">
        <f t="shared" si="0"/>
        <v>-184.42</v>
      </c>
      <c r="C8" s="21">
        <f t="shared" si="1"/>
        <v>-54.82</v>
      </c>
      <c r="D8" s="21"/>
      <c r="E8" s="21">
        <f t="shared" si="2"/>
        <v>-38.8</v>
      </c>
      <c r="F8" s="21">
        <v>-38.8</v>
      </c>
      <c r="G8" s="21"/>
      <c r="H8" s="21">
        <v>-16.02</v>
      </c>
      <c r="I8" s="21">
        <f t="shared" si="3"/>
        <v>-129.6</v>
      </c>
      <c r="J8" s="21">
        <v>79.49</v>
      </c>
      <c r="K8" s="21">
        <v>-209.09</v>
      </c>
      <c r="L8" s="7"/>
    </row>
    <row r="9" s="17" customFormat="1" ht="42" customHeight="1" spans="1:12">
      <c r="A9" s="16" t="s">
        <v>407</v>
      </c>
      <c r="B9" s="21">
        <v>-10.02</v>
      </c>
      <c r="C9" s="21">
        <v>-5.58</v>
      </c>
      <c r="D9" s="21"/>
      <c r="E9" s="21">
        <v>-5.75</v>
      </c>
      <c r="F9" s="21">
        <v>-5.75</v>
      </c>
      <c r="G9" s="21"/>
      <c r="H9" s="21">
        <v>-5.21</v>
      </c>
      <c r="I9" s="21">
        <v>-15.08</v>
      </c>
      <c r="J9" s="21">
        <v>26.19</v>
      </c>
      <c r="K9" s="21">
        <v>-37.6</v>
      </c>
      <c r="L9" s="7"/>
    </row>
    <row r="10" s="17" customFormat="1" ht="42" customHeight="1" spans="1:12">
      <c r="A10" s="16" t="s">
        <v>408</v>
      </c>
      <c r="B10" s="21">
        <f t="shared" si="0"/>
        <v>1149.72</v>
      </c>
      <c r="C10" s="21">
        <f t="shared" si="1"/>
        <v>739.11</v>
      </c>
      <c r="D10" s="21"/>
      <c r="E10" s="21">
        <f t="shared" si="2"/>
        <v>543.41</v>
      </c>
      <c r="F10" s="21">
        <f>543.41</f>
        <v>543.41</v>
      </c>
      <c r="G10" s="21"/>
      <c r="H10" s="21">
        <f>195.7</f>
        <v>195.7</v>
      </c>
      <c r="I10" s="21">
        <f t="shared" si="3"/>
        <v>410.61</v>
      </c>
      <c r="J10" s="21">
        <f>232.55</f>
        <v>232.55</v>
      </c>
      <c r="K10" s="21">
        <f>178.06</f>
        <v>178.06</v>
      </c>
      <c r="L10" s="7"/>
    </row>
    <row r="11" s="17" customFormat="1" ht="42" customHeight="1" spans="1:12">
      <c r="A11" s="16" t="s">
        <v>409</v>
      </c>
      <c r="B11" s="21">
        <f t="shared" ref="B11:F11" si="4">ROUND(B10/B7*100,2)</f>
        <v>69.4</v>
      </c>
      <c r="C11" s="21">
        <f t="shared" si="4"/>
        <v>79.75</v>
      </c>
      <c r="D11" s="21"/>
      <c r="E11" s="21">
        <f t="shared" si="4"/>
        <v>85.5</v>
      </c>
      <c r="F11" s="21">
        <f t="shared" si="4"/>
        <v>85.5</v>
      </c>
      <c r="G11" s="21"/>
      <c r="H11" s="21">
        <f t="shared" ref="H11:K11" si="5">ROUND(H10/H7*100,2)</f>
        <v>67.19</v>
      </c>
      <c r="I11" s="21">
        <f t="shared" si="5"/>
        <v>56.25</v>
      </c>
      <c r="J11" s="21">
        <f t="shared" si="5"/>
        <v>60.72</v>
      </c>
      <c r="K11" s="21">
        <f t="shared" si="5"/>
        <v>51.32</v>
      </c>
      <c r="L11" s="7"/>
    </row>
  </sheetData>
  <mergeCells count="13">
    <mergeCell ref="A2:L2"/>
    <mergeCell ref="C4:H4"/>
    <mergeCell ref="I4:K4"/>
    <mergeCell ref="E5:G5"/>
    <mergeCell ref="A4:A6"/>
    <mergeCell ref="B4:B6"/>
    <mergeCell ref="C5:C6"/>
    <mergeCell ref="D5:D6"/>
    <mergeCell ref="H5:H6"/>
    <mergeCell ref="I5:I6"/>
    <mergeCell ref="J5:J6"/>
    <mergeCell ref="K5:K6"/>
    <mergeCell ref="L4:L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一般公共</vt:lpstr>
      <vt:lpstr>政府性基金</vt:lpstr>
      <vt:lpstr>国有资本</vt:lpstr>
      <vt:lpstr>社保基金</vt:lpstr>
      <vt:lpstr>社保基金1</vt:lpstr>
      <vt:lpstr>社保基金2</vt:lpstr>
      <vt:lpstr>政府债务</vt:lpstr>
      <vt:lpstr>专项债务</vt:lpstr>
      <vt:lpstr>三公两费</vt:lpstr>
      <vt:lpstr>预备费</vt:lpstr>
      <vt:lpstr>2023年部门绩效自评表</vt:lpstr>
      <vt:lpstr>2023年财政评价表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</dc:creator>
  <cp:lastModifiedBy>Rancho</cp:lastModifiedBy>
  <dcterms:created xsi:type="dcterms:W3CDTF">2024-06-20T07:03:00Z</dcterms:created>
  <dcterms:modified xsi:type="dcterms:W3CDTF">2025-08-15T02:22:54Z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CE52D09117DB448EB59ADB66DF19AA26</vt:lpwstr>
  </property>
  <property fmtid="{D5CDD505-2E9C-101B-9397-08002B2CF9AE}" pid="3" name="KSOProductBuildVer">
    <vt:lpwstr>2052-12.1.0.21915</vt:lpwstr>
  </property>
</Properties>
</file>